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comments3.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externalLinks/externalLink2.xml" ContentType="application/vnd.openxmlformats-officedocument.spreadsheetml.externalLink+xml"/>
  <Override PartName="/xl/comments7.xml" ContentType="application/vnd.openxmlformats-officedocument.spreadsheetml.comments+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xml" ContentType="application/vnd.openxmlformats-officedocument.spreadsheetml.comments+xml"/>
  <Override PartName="/xl/comments8.xml" ContentType="application/vnd.openxmlformats-officedocument.spreadsheetml.comments+xml"/>
  <Override PartName="/xl/pivotCache/pivotCacheDefinition1.xml" ContentType="application/vnd.openxmlformats-officedocument.spreadsheetml.pivotCacheDefinition+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on 2018\"/>
    </mc:Choice>
  </mc:AlternateContent>
  <xr:revisionPtr revIDLastSave="0" documentId="10_ncr:100000_{06DC4EEB-0F17-46A5-886B-7D67FA9298B4}" xr6:coauthVersionLast="31" xr6:coauthVersionMax="31" xr10:uidLastSave="{00000000-0000-0000-0000-000000000000}"/>
  <bookViews>
    <workbookView xWindow="0" yWindow="0" windowWidth="20490" windowHeight="7530" firstSheet="2" activeTab="2" xr2:uid="{00000000-000D-0000-FFFF-FFFF00000000}"/>
  </bookViews>
  <sheets>
    <sheet name="Plan de Accion Final" sheetId="14" state="hidden" r:id="rId1"/>
    <sheet name="Hoja2" sheetId="8" state="hidden" r:id="rId2"/>
    <sheet name="Plan de Accion 2018" sheetId="3" r:id="rId3"/>
    <sheet name="Cuadro Mando Integral Seguimien" sheetId="24" r:id="rId4"/>
    <sheet name="Cuadro Mando Integral Detallado" sheetId="15" r:id="rId5"/>
    <sheet name="Cumplimiento perspectivas conso" sheetId="17" state="hidden" r:id="rId6"/>
    <sheet name="Cumplimiento perspectivas Mejor" sheetId="27" r:id="rId7"/>
    <sheet name="Cumplimiento de objetivos" sheetId="16" state="hidden" r:id="rId8"/>
    <sheet name="Cumplimi actividades relevantes" sheetId="23" state="hidden" r:id="rId9"/>
    <sheet name="Cumplimiento de objetivos Mejor" sheetId="29" r:id="rId10"/>
    <sheet name="Cumplimiento Dependencias" sheetId="18" state="hidden" r:id="rId11"/>
    <sheet name="Cumplimiento Dependencias Mejor" sheetId="28" r:id="rId12"/>
    <sheet name="Ejecución Presupuestal" sheetId="26" r:id="rId13"/>
    <sheet name="Control de Cambios" sheetId="25" r:id="rId14"/>
    <sheet name="Actividades relevantes Detalle" sheetId="22" state="hidden" r:id="rId15"/>
    <sheet name="PLAN DE ADQUISIONES COMPILADO" sheetId="13" state="hidden" r:id="rId16"/>
    <sheet name="TAB. REF. PA" sheetId="4"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4" hidden="1">'Actividades relevantes Detalle'!$A$7:$BR$150</definedName>
    <definedName name="_xlnm._FilterDatabase" localSheetId="4" hidden="1">'Cuadro Mando Integral Detallado'!$B$14:$CL$227</definedName>
    <definedName name="_xlnm._FilterDatabase" localSheetId="2" hidden="1">'Plan de Accion 2018'!$A$7:$BT$167</definedName>
    <definedName name="_xlnm._FilterDatabase" localSheetId="0" hidden="1">'Plan de Accion Final'!$A$8:$BQ$152</definedName>
    <definedName name="Central_de_Costos">'TAB. REF. PA'!$A$4:$A$14</definedName>
    <definedName name="CÓDIGO_AREA" localSheetId="16">'TAB.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s>
  <calcPr calcId="179017"/>
  <pivotCaches>
    <pivotCache cacheId="0" r:id="rId3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4" i="28" l="1"/>
  <c r="J13" i="28"/>
  <c r="J12" i="28"/>
  <c r="J11" i="28"/>
  <c r="J10" i="28"/>
  <c r="J9" i="28"/>
  <c r="J8" i="28"/>
  <c r="J7" i="28"/>
  <c r="J6" i="28"/>
  <c r="I14" i="28"/>
  <c r="I13" i="28"/>
  <c r="I12" i="28"/>
  <c r="I11" i="28"/>
  <c r="I10" i="28"/>
  <c r="I9" i="28"/>
  <c r="I8" i="28"/>
  <c r="I7" i="28"/>
  <c r="I6" i="28"/>
  <c r="C14" i="28"/>
  <c r="C13" i="28"/>
  <c r="C12" i="28"/>
  <c r="C11" i="28"/>
  <c r="C10" i="28"/>
  <c r="C9" i="28"/>
  <c r="Q122" i="15"/>
  <c r="S122" i="15"/>
  <c r="C8" i="28"/>
  <c r="C7" i="28"/>
  <c r="C6" i="28"/>
  <c r="C11" i="29"/>
  <c r="C10" i="29"/>
  <c r="C9" i="29"/>
  <c r="C8" i="29"/>
  <c r="C7" i="29"/>
  <c r="J11" i="29"/>
  <c r="I11" i="29"/>
  <c r="C6" i="29"/>
  <c r="C13" i="27"/>
  <c r="C11" i="27"/>
  <c r="C8" i="27"/>
  <c r="C7" i="27"/>
  <c r="C6" i="27"/>
  <c r="J10" i="29"/>
  <c r="I10" i="29"/>
  <c r="J9" i="29"/>
  <c r="I9" i="29"/>
  <c r="J8" i="29"/>
  <c r="I8" i="29"/>
  <c r="J7" i="29"/>
  <c r="I7" i="29"/>
  <c r="J6" i="29"/>
  <c r="W6" i="29"/>
  <c r="I6" i="29"/>
  <c r="T111" i="15"/>
  <c r="J13" i="27"/>
  <c r="J11" i="27"/>
  <c r="J9" i="27"/>
  <c r="J8" i="27"/>
  <c r="J7" i="27"/>
  <c r="J6" i="27"/>
  <c r="I13" i="27"/>
  <c r="I11" i="27"/>
  <c r="I9" i="27"/>
  <c r="I8" i="27"/>
  <c r="I7" i="27"/>
  <c r="I6" i="27"/>
  <c r="P11" i="27"/>
  <c r="P9" i="27"/>
  <c r="P8" i="27"/>
  <c r="P7" i="27"/>
  <c r="P6" i="27"/>
  <c r="AE6" i="27"/>
  <c r="I13" i="17"/>
  <c r="C13" i="17"/>
  <c r="P13" i="17"/>
  <c r="I227" i="15"/>
  <c r="J227" i="15" s="1"/>
  <c r="M227" i="15"/>
  <c r="K227" i="15"/>
  <c r="M226" i="15"/>
  <c r="L226" i="15"/>
  <c r="K226" i="15"/>
  <c r="L225" i="15"/>
  <c r="L224" i="15"/>
  <c r="L223" i="15"/>
  <c r="L227" i="15"/>
  <c r="M225" i="15"/>
  <c r="M224" i="15"/>
  <c r="M223" i="15"/>
  <c r="M219" i="15"/>
  <c r="L219" i="15"/>
  <c r="M218" i="15"/>
  <c r="L218" i="15"/>
  <c r="M210" i="15"/>
  <c r="L210" i="15"/>
  <c r="M206" i="15"/>
  <c r="L206" i="15"/>
  <c r="M203" i="15"/>
  <c r="L203" i="15"/>
  <c r="M178" i="15"/>
  <c r="L178" i="15"/>
  <c r="M177" i="15"/>
  <c r="L177" i="15"/>
  <c r="M167" i="15"/>
  <c r="L167" i="15"/>
  <c r="M155" i="15"/>
  <c r="L155" i="15"/>
  <c r="M146" i="15"/>
  <c r="L146" i="15"/>
  <c r="M123" i="15"/>
  <c r="L123" i="15"/>
  <c r="J112" i="15"/>
  <c r="L106" i="15"/>
  <c r="M106" i="15"/>
  <c r="M98" i="15"/>
  <c r="L98" i="15"/>
  <c r="M77" i="15"/>
  <c r="L77" i="15"/>
  <c r="J31" i="15"/>
  <c r="M65" i="15"/>
  <c r="L65" i="15"/>
  <c r="M37" i="15"/>
  <c r="T37" i="15"/>
  <c r="L37" i="15"/>
  <c r="K37" i="15"/>
  <c r="I224" i="15"/>
  <c r="I223" i="15"/>
  <c r="P223" i="15"/>
  <c r="M17" i="15"/>
  <c r="M18" i="15"/>
  <c r="M19" i="15"/>
  <c r="M20" i="15"/>
  <c r="M21" i="15"/>
  <c r="M22" i="15"/>
  <c r="M23" i="15"/>
  <c r="M24" i="15"/>
  <c r="M25" i="15"/>
  <c r="M26" i="15"/>
  <c r="M27" i="15"/>
  <c r="M28" i="15"/>
  <c r="M29" i="15"/>
  <c r="M30" i="15"/>
  <c r="M31" i="15"/>
  <c r="M35" i="15"/>
  <c r="M36"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6" i="15"/>
  <c r="M69" i="15"/>
  <c r="M70" i="15"/>
  <c r="M71" i="15"/>
  <c r="M72" i="15"/>
  <c r="M75" i="15"/>
  <c r="M78" i="15"/>
  <c r="M79" i="15"/>
  <c r="M80" i="15"/>
  <c r="M81" i="15"/>
  <c r="M82" i="15"/>
  <c r="M85" i="15"/>
  <c r="M86" i="15"/>
  <c r="M87" i="15"/>
  <c r="M88" i="15"/>
  <c r="M89" i="15"/>
  <c r="M90" i="15"/>
  <c r="M91" i="15"/>
  <c r="M92" i="15"/>
  <c r="M93" i="15"/>
  <c r="M94" i="15"/>
  <c r="M95" i="15"/>
  <c r="M96" i="15"/>
  <c r="M97" i="15"/>
  <c r="M99" i="15"/>
  <c r="M100" i="15"/>
  <c r="M101" i="15"/>
  <c r="M102" i="15"/>
  <c r="M103" i="15"/>
  <c r="M104" i="15"/>
  <c r="M108" i="15"/>
  <c r="M109" i="15"/>
  <c r="M110" i="15"/>
  <c r="M111" i="15"/>
  <c r="M112" i="15"/>
  <c r="M113" i="15"/>
  <c r="M114" i="15"/>
  <c r="M115" i="15"/>
  <c r="M116" i="15"/>
  <c r="M117" i="15"/>
  <c r="M121" i="15"/>
  <c r="M124" i="15"/>
  <c r="M125" i="15"/>
  <c r="M126" i="15"/>
  <c r="M127" i="15"/>
  <c r="M128" i="15"/>
  <c r="M129" i="15"/>
  <c r="M130" i="15"/>
  <c r="M131" i="15"/>
  <c r="M132" i="15"/>
  <c r="M133" i="15"/>
  <c r="M135" i="15"/>
  <c r="M136" i="15"/>
  <c r="M137" i="15"/>
  <c r="M138" i="15"/>
  <c r="M139" i="15"/>
  <c r="M140" i="15"/>
  <c r="M142" i="15"/>
  <c r="M143" i="15"/>
  <c r="M144" i="15"/>
  <c r="M145" i="15"/>
  <c r="M147" i="15"/>
  <c r="M148" i="15"/>
  <c r="M149" i="15"/>
  <c r="M150" i="15"/>
  <c r="M151" i="15"/>
  <c r="M152" i="15"/>
  <c r="M153" i="15"/>
  <c r="M154" i="15"/>
  <c r="M156" i="15"/>
  <c r="M157" i="15"/>
  <c r="M158" i="15"/>
  <c r="M159" i="15"/>
  <c r="M160" i="15"/>
  <c r="M161" i="15"/>
  <c r="M162" i="15"/>
  <c r="M163" i="15"/>
  <c r="M164" i="15"/>
  <c r="M165" i="15"/>
  <c r="M168" i="15"/>
  <c r="M169" i="15"/>
  <c r="M170" i="15"/>
  <c r="M171" i="15"/>
  <c r="M172" i="15"/>
  <c r="M173" i="15"/>
  <c r="M174" i="15"/>
  <c r="M175" i="15"/>
  <c r="M176" i="15"/>
  <c r="M179" i="15"/>
  <c r="M181" i="15"/>
  <c r="M183" i="15"/>
  <c r="M185" i="15"/>
  <c r="M187" i="15"/>
  <c r="M189" i="15"/>
  <c r="M190" i="15"/>
  <c r="M191" i="15"/>
  <c r="M192" i="15"/>
  <c r="M193" i="15"/>
  <c r="M194" i="15"/>
  <c r="M195" i="15"/>
  <c r="M199" i="15"/>
  <c r="M200" i="15"/>
  <c r="M201" i="15"/>
  <c r="M204" i="15"/>
  <c r="M205" i="15"/>
  <c r="M207" i="15"/>
  <c r="M208" i="15"/>
  <c r="M209" i="15"/>
  <c r="M211" i="15"/>
  <c r="M212" i="15"/>
  <c r="M213" i="15"/>
  <c r="M214" i="15"/>
  <c r="M215" i="15"/>
  <c r="M216" i="15"/>
  <c r="M217" i="15"/>
  <c r="M220" i="15"/>
  <c r="M221" i="15"/>
  <c r="M222" i="15"/>
  <c r="M16" i="15"/>
  <c r="M15" i="15"/>
  <c r="L17" i="15"/>
  <c r="L18" i="15"/>
  <c r="L19" i="15"/>
  <c r="L20" i="15"/>
  <c r="L21" i="15"/>
  <c r="L22" i="15"/>
  <c r="L23" i="15"/>
  <c r="L24" i="15"/>
  <c r="L25" i="15"/>
  <c r="L26" i="15"/>
  <c r="L27" i="15"/>
  <c r="L28" i="15"/>
  <c r="L29" i="15"/>
  <c r="L30" i="15"/>
  <c r="L31" i="15"/>
  <c r="L32" i="15"/>
  <c r="L33" i="15"/>
  <c r="L34" i="15"/>
  <c r="L35" i="15"/>
  <c r="L36"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6" i="15"/>
  <c r="L67" i="15"/>
  <c r="L68" i="15"/>
  <c r="L69" i="15"/>
  <c r="L70" i="15"/>
  <c r="L71" i="15"/>
  <c r="L72" i="15"/>
  <c r="L73" i="15"/>
  <c r="L74" i="15"/>
  <c r="L75" i="15"/>
  <c r="L76" i="15"/>
  <c r="L78" i="15"/>
  <c r="L79" i="15"/>
  <c r="L80" i="15"/>
  <c r="L81" i="15"/>
  <c r="L82" i="15"/>
  <c r="L83" i="15"/>
  <c r="L84" i="15"/>
  <c r="L85" i="15"/>
  <c r="L86" i="15"/>
  <c r="L87" i="15"/>
  <c r="L88" i="15"/>
  <c r="L89" i="15"/>
  <c r="L90" i="15"/>
  <c r="L91" i="15"/>
  <c r="L92" i="15"/>
  <c r="L93" i="15"/>
  <c r="L94" i="15"/>
  <c r="L95" i="15"/>
  <c r="L96" i="15"/>
  <c r="L97" i="15"/>
  <c r="L99" i="15"/>
  <c r="L100" i="15"/>
  <c r="L101" i="15"/>
  <c r="L102" i="15"/>
  <c r="L103" i="15"/>
  <c r="L104" i="15"/>
  <c r="L105" i="15"/>
  <c r="L108" i="15"/>
  <c r="L109" i="15"/>
  <c r="L110" i="15"/>
  <c r="L111" i="15"/>
  <c r="L112" i="15"/>
  <c r="L113" i="15"/>
  <c r="L114" i="15"/>
  <c r="L115" i="15"/>
  <c r="L116" i="15"/>
  <c r="L117" i="15"/>
  <c r="L118" i="15"/>
  <c r="L119" i="15"/>
  <c r="L120" i="15"/>
  <c r="L121" i="15"/>
  <c r="L122" i="15"/>
  <c r="L124" i="15"/>
  <c r="L125" i="15"/>
  <c r="L126" i="15"/>
  <c r="L127" i="15"/>
  <c r="L128" i="15"/>
  <c r="L129" i="15"/>
  <c r="L130" i="15"/>
  <c r="L131" i="15"/>
  <c r="L132" i="15"/>
  <c r="L133" i="15"/>
  <c r="L134" i="15"/>
  <c r="L135" i="15"/>
  <c r="L136" i="15"/>
  <c r="L137" i="15"/>
  <c r="L138" i="15"/>
  <c r="L139" i="15"/>
  <c r="L140" i="15"/>
  <c r="L141" i="15"/>
  <c r="L142" i="15"/>
  <c r="L143" i="15"/>
  <c r="L144" i="15"/>
  <c r="L145" i="15"/>
  <c r="L147" i="15"/>
  <c r="L148" i="15"/>
  <c r="L149" i="15"/>
  <c r="L150" i="15"/>
  <c r="L151" i="15"/>
  <c r="L152" i="15"/>
  <c r="L153" i="15"/>
  <c r="L154" i="15"/>
  <c r="L156" i="15"/>
  <c r="L157" i="15"/>
  <c r="L158" i="15"/>
  <c r="L159" i="15"/>
  <c r="L160" i="15"/>
  <c r="L161" i="15"/>
  <c r="L162" i="15"/>
  <c r="L163" i="15"/>
  <c r="L164" i="15"/>
  <c r="L165" i="15"/>
  <c r="L166" i="15"/>
  <c r="L168" i="15"/>
  <c r="L169" i="15"/>
  <c r="L170" i="15"/>
  <c r="L171" i="15"/>
  <c r="L172" i="15"/>
  <c r="L173" i="15"/>
  <c r="L174" i="15"/>
  <c r="L175" i="15"/>
  <c r="L176"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4" i="15"/>
  <c r="L205" i="15"/>
  <c r="L207" i="15"/>
  <c r="L208" i="15"/>
  <c r="L209" i="15"/>
  <c r="L211" i="15"/>
  <c r="L212" i="15"/>
  <c r="L213" i="15"/>
  <c r="L214" i="15"/>
  <c r="L215" i="15"/>
  <c r="L216" i="15"/>
  <c r="L217" i="15"/>
  <c r="L220" i="15"/>
  <c r="L221" i="15"/>
  <c r="L222" i="15"/>
  <c r="L16" i="15"/>
  <c r="L15" i="15"/>
  <c r="J17" i="15"/>
  <c r="J18" i="15"/>
  <c r="J19" i="15"/>
  <c r="J20" i="15"/>
  <c r="J21" i="15"/>
  <c r="J22" i="15"/>
  <c r="J23" i="15"/>
  <c r="J24" i="15"/>
  <c r="J25" i="15"/>
  <c r="J26" i="15"/>
  <c r="J27" i="15"/>
  <c r="J28" i="15"/>
  <c r="J29" i="15"/>
  <c r="J30"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9" i="15"/>
  <c r="J70" i="15"/>
  <c r="J71" i="15"/>
  <c r="J72" i="15"/>
  <c r="J75" i="15"/>
  <c r="J77" i="15"/>
  <c r="J78" i="15"/>
  <c r="J79" i="15"/>
  <c r="J80" i="15"/>
  <c r="J81" i="15"/>
  <c r="J82" i="15"/>
  <c r="J85" i="15"/>
  <c r="J86" i="15"/>
  <c r="J87" i="15"/>
  <c r="J88" i="15"/>
  <c r="J89" i="15"/>
  <c r="J90" i="15"/>
  <c r="J91" i="15"/>
  <c r="J92" i="15"/>
  <c r="J93" i="15"/>
  <c r="J94" i="15"/>
  <c r="J95" i="15"/>
  <c r="J96" i="15"/>
  <c r="J97" i="15"/>
  <c r="J98" i="15"/>
  <c r="J99" i="15"/>
  <c r="J100" i="15"/>
  <c r="J101" i="15"/>
  <c r="J102" i="15"/>
  <c r="J103" i="15"/>
  <c r="J104" i="15"/>
  <c r="J106" i="15"/>
  <c r="J107" i="15"/>
  <c r="J108" i="15"/>
  <c r="J109" i="15"/>
  <c r="J110" i="15"/>
  <c r="J111" i="15"/>
  <c r="J113" i="15"/>
  <c r="J114" i="15"/>
  <c r="J115" i="15"/>
  <c r="J116" i="15"/>
  <c r="J117" i="15"/>
  <c r="J121" i="15"/>
  <c r="J123" i="15"/>
  <c r="J124" i="15"/>
  <c r="J125" i="15"/>
  <c r="J126" i="15"/>
  <c r="J127" i="15"/>
  <c r="J128" i="15"/>
  <c r="J129" i="15"/>
  <c r="J130" i="15"/>
  <c r="J131" i="15"/>
  <c r="J132" i="15"/>
  <c r="J133" i="15"/>
  <c r="J135" i="15"/>
  <c r="J136" i="15"/>
  <c r="J137" i="15"/>
  <c r="J138" i="15"/>
  <c r="J139" i="15"/>
  <c r="J140"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7" i="15"/>
  <c r="J168" i="15"/>
  <c r="J169" i="15"/>
  <c r="J170" i="15"/>
  <c r="J171" i="15"/>
  <c r="J172" i="15"/>
  <c r="J173" i="15"/>
  <c r="J174" i="15"/>
  <c r="J175" i="15"/>
  <c r="J176" i="15"/>
  <c r="J177" i="15"/>
  <c r="J178" i="15"/>
  <c r="J179" i="15"/>
  <c r="J181" i="15"/>
  <c r="J183" i="15"/>
  <c r="J185" i="15"/>
  <c r="J187" i="15"/>
  <c r="J189" i="15"/>
  <c r="J190" i="15"/>
  <c r="J191" i="15"/>
  <c r="J192" i="15"/>
  <c r="J193" i="15"/>
  <c r="J194" i="15"/>
  <c r="J195" i="15"/>
  <c r="J199" i="15"/>
  <c r="J200" i="15"/>
  <c r="J201" i="15"/>
  <c r="J203" i="15"/>
  <c r="J204" i="15"/>
  <c r="J205" i="15"/>
  <c r="J206" i="15"/>
  <c r="J207" i="15"/>
  <c r="J208" i="15"/>
  <c r="J209" i="15"/>
  <c r="J210" i="15"/>
  <c r="J211" i="15"/>
  <c r="J212" i="15"/>
  <c r="J213" i="15"/>
  <c r="J214" i="15"/>
  <c r="J215" i="15"/>
  <c r="J216" i="15"/>
  <c r="J217" i="15"/>
  <c r="J218" i="15"/>
  <c r="J219" i="15"/>
  <c r="J220" i="15"/>
  <c r="J221" i="15"/>
  <c r="J222" i="15"/>
  <c r="J223" i="15"/>
  <c r="J226" i="15"/>
  <c r="J16" i="15"/>
  <c r="J15" i="15"/>
  <c r="U92" i="3" l="1"/>
  <c r="Y92" i="3" s="1"/>
  <c r="BC92" i="3" l="1"/>
  <c r="AI92" i="3"/>
  <c r="AS92" i="3"/>
  <c r="AK83" i="3" l="1"/>
  <c r="AE111" i="3" l="1"/>
  <c r="AO111" i="3"/>
  <c r="AK90" i="3" l="1"/>
  <c r="AM11" i="3" l="1"/>
  <c r="AO138" i="3" l="1"/>
  <c r="AA107" i="3"/>
  <c r="AK107" i="3"/>
  <c r="AO107" i="3" s="1"/>
  <c r="AK150" i="3"/>
  <c r="F17" i="15" l="1"/>
  <c r="F18" i="15"/>
  <c r="AO14" i="3"/>
  <c r="R180" i="15" s="1"/>
  <c r="AI11" i="29" l="1"/>
  <c r="AD52" i="3" l="1"/>
  <c r="AN52" i="3"/>
  <c r="AO52" i="3"/>
  <c r="AO11" i="3" l="1"/>
  <c r="AM119" i="3" l="1"/>
  <c r="AK119" i="3"/>
  <c r="AM118" i="3"/>
  <c r="AK113" i="3" l="1"/>
  <c r="AK110" i="3" l="1"/>
  <c r="AN48" i="3" l="1"/>
  <c r="AK102" i="3"/>
  <c r="AA65" i="3"/>
  <c r="AK46" i="3"/>
  <c r="AA46" i="3"/>
  <c r="AO119" i="3"/>
  <c r="AK108" i="3" l="1"/>
  <c r="AN107" i="3"/>
  <c r="K94" i="3" l="1"/>
  <c r="AK155" i="3" l="1"/>
  <c r="AJ155" i="3"/>
  <c r="K155" i="3"/>
  <c r="AG11" i="16" l="1"/>
  <c r="AC194" i="15" l="1"/>
  <c r="V194" i="15"/>
  <c r="H194" i="15"/>
  <c r="F194" i="15"/>
  <c r="D194" i="15"/>
  <c r="AC193" i="15"/>
  <c r="V193" i="15"/>
  <c r="H193" i="15"/>
  <c r="F193" i="15"/>
  <c r="D193" i="15"/>
  <c r="AC113" i="15"/>
  <c r="V113" i="15"/>
  <c r="H113" i="15"/>
  <c r="F113" i="15"/>
  <c r="D113" i="15"/>
  <c r="R82" i="15"/>
  <c r="K83" i="15"/>
  <c r="BN149" i="3"/>
  <c r="BN147" i="3"/>
  <c r="BL149" i="3"/>
  <c r="BL147" i="3"/>
  <c r="BL148" i="3"/>
  <c r="AC147" i="3"/>
  <c r="AM138" i="3"/>
  <c r="AK105" i="3"/>
  <c r="AM105" i="3" s="1"/>
  <c r="C18" i="26"/>
  <c r="F18" i="26"/>
  <c r="AK152" i="3"/>
  <c r="AL165" i="3"/>
  <c r="S82" i="15" l="1"/>
  <c r="T82" i="15" s="1"/>
  <c r="O193" i="15"/>
  <c r="AM166" i="3"/>
  <c r="AO166" i="3" s="1"/>
  <c r="AK112" i="3"/>
  <c r="O113" i="15" s="1"/>
  <c r="AK111" i="3"/>
  <c r="AL126" i="3" l="1"/>
  <c r="AK154" i="3" l="1"/>
  <c r="AK153" i="3"/>
  <c r="AK135" i="3"/>
  <c r="AN135" i="3"/>
  <c r="AL135" i="3"/>
  <c r="AK134" i="3"/>
  <c r="AK133" i="3"/>
  <c r="AK132" i="3"/>
  <c r="AC130" i="3"/>
  <c r="AK131" i="3"/>
  <c r="AK126" i="3"/>
  <c r="AK130" i="3"/>
  <c r="AK129" i="3"/>
  <c r="AK128" i="3"/>
  <c r="AK127" i="3"/>
  <c r="C23" i="26" l="1"/>
  <c r="C22" i="26"/>
  <c r="F22" i="26" s="1"/>
  <c r="C17" i="26"/>
  <c r="F17" i="26" s="1"/>
  <c r="AB166" i="3"/>
  <c r="K165" i="3"/>
  <c r="F27" i="26" l="1"/>
  <c r="C27" i="26"/>
  <c r="E34" i="15"/>
  <c r="E33" i="15"/>
  <c r="E32" i="15"/>
  <c r="D34" i="15"/>
  <c r="D33" i="15"/>
  <c r="D32" i="15"/>
  <c r="AC120" i="15"/>
  <c r="V120" i="15"/>
  <c r="O120" i="15"/>
  <c r="H120" i="15"/>
  <c r="F120" i="15"/>
  <c r="E120" i="15"/>
  <c r="D120" i="15"/>
  <c r="AC119" i="15"/>
  <c r="AC118" i="15"/>
  <c r="V119" i="15"/>
  <c r="V118" i="15"/>
  <c r="O119" i="15"/>
  <c r="O118" i="15"/>
  <c r="H119" i="15"/>
  <c r="H118" i="15"/>
  <c r="F119" i="15"/>
  <c r="F118" i="15"/>
  <c r="E119" i="15"/>
  <c r="E118" i="15"/>
  <c r="D119" i="15"/>
  <c r="D118" i="15"/>
  <c r="F19" i="26" l="1"/>
  <c r="AK11" i="3"/>
  <c r="AK10" i="3"/>
  <c r="AK9" i="3"/>
  <c r="V36" i="3" l="1"/>
  <c r="V35" i="3"/>
  <c r="V34" i="3"/>
  <c r="V33" i="3"/>
  <c r="V32" i="3"/>
  <c r="V31" i="3"/>
  <c r="BD31" i="3" s="1"/>
  <c r="BB31" i="3" s="1"/>
  <c r="V30" i="3"/>
  <c r="V29" i="3"/>
  <c r="BD29" i="3" s="1"/>
  <c r="BB29" i="3" s="1"/>
  <c r="V28" i="3"/>
  <c r="AT28" i="3" s="1"/>
  <c r="AR28" i="3" s="1"/>
  <c r="V27" i="3"/>
  <c r="V26" i="3"/>
  <c r="V25" i="3"/>
  <c r="AT25" i="3" s="1"/>
  <c r="AR25" i="3" s="1"/>
  <c r="V24" i="3"/>
  <c r="V23" i="3"/>
  <c r="BD23" i="3" s="1"/>
  <c r="BB23" i="3" s="1"/>
  <c r="V22" i="3"/>
  <c r="V21" i="3"/>
  <c r="V20" i="3"/>
  <c r="BB20" i="3" s="1"/>
  <c r="V19" i="3"/>
  <c r="BB19" i="3" s="1"/>
  <c r="V18" i="3"/>
  <c r="AJ18" i="3" s="1"/>
  <c r="AH18" i="3" s="1"/>
  <c r="AK18" i="3" s="1"/>
  <c r="V17" i="3"/>
  <c r="AJ17" i="3" s="1"/>
  <c r="AH17" i="3" s="1"/>
  <c r="AK17" i="3" s="1"/>
  <c r="V16" i="3"/>
  <c r="V15" i="3"/>
  <c r="AR19" i="3"/>
  <c r="AK36" i="3"/>
  <c r="AK35" i="3"/>
  <c r="AK34" i="3"/>
  <c r="AK33" i="3"/>
  <c r="AK32" i="3"/>
  <c r="AK30" i="3"/>
  <c r="AK27" i="3"/>
  <c r="AK26" i="3"/>
  <c r="AK24" i="3"/>
  <c r="AK22" i="3"/>
  <c r="AK21" i="3"/>
  <c r="AK16" i="3"/>
  <c r="AK15" i="3"/>
  <c r="AT18" i="3" l="1"/>
  <c r="AJ25" i="3"/>
  <c r="AH25" i="3" s="1"/>
  <c r="AT29" i="3"/>
  <c r="AR29" i="3" s="1"/>
  <c r="AH29" i="3"/>
  <c r="AK29" i="3" s="1"/>
  <c r="BD18" i="3"/>
  <c r="AH31" i="3"/>
  <c r="AK31" i="3" s="1"/>
  <c r="AT17" i="3"/>
  <c r="AR17" i="3" s="1"/>
  <c r="BD17" i="3"/>
  <c r="BB17" i="3" s="1"/>
  <c r="AT31" i="3"/>
  <c r="AR31" i="3" s="1"/>
  <c r="BD25" i="3"/>
  <c r="BB25" i="3" s="1"/>
  <c r="AH19" i="3"/>
  <c r="AK19" i="3" s="1"/>
  <c r="AR20" i="3"/>
  <c r="BD28" i="3"/>
  <c r="BB28" i="3" s="1"/>
  <c r="AH20" i="3"/>
  <c r="AK20" i="3" s="1"/>
  <c r="AJ23" i="3"/>
  <c r="AH23" i="3" s="1"/>
  <c r="AK23" i="3" s="1"/>
  <c r="AH28" i="3"/>
  <c r="AK28" i="3" s="1"/>
  <c r="AT23" i="3"/>
  <c r="AR23" i="3" s="1"/>
  <c r="AK25" i="3"/>
  <c r="AK56" i="3"/>
  <c r="AM56" i="3" s="1"/>
  <c r="AK55" i="3"/>
  <c r="AM55" i="3" s="1"/>
  <c r="AK54" i="3"/>
  <c r="AM54" i="3" s="1"/>
  <c r="AK57" i="3"/>
  <c r="AM57" i="3" s="1"/>
  <c r="AK53" i="3"/>
  <c r="AM53" i="3" s="1"/>
  <c r="AK52" i="3"/>
  <c r="AM52" i="3" s="1"/>
  <c r="AM46" i="3"/>
  <c r="AM45" i="3"/>
  <c r="AM47" i="3"/>
  <c r="AM48" i="3"/>
  <c r="AM49" i="3"/>
  <c r="AM50" i="3"/>
  <c r="AM51" i="3"/>
  <c r="K135" i="3" l="1"/>
  <c r="K99" i="3"/>
  <c r="AL80" i="3" l="1"/>
  <c r="V76" i="3" l="1"/>
  <c r="V77" i="3"/>
  <c r="V78" i="3"/>
  <c r="V79" i="3"/>
  <c r="U79" i="3"/>
  <c r="BC79" i="3" l="1"/>
  <c r="Y79" i="3"/>
  <c r="AI79" i="3"/>
  <c r="AS79" i="3"/>
  <c r="AK148" i="3"/>
  <c r="AK146" i="3"/>
  <c r="AK139" i="3"/>
  <c r="AK138" i="3"/>
  <c r="AK137" i="3"/>
  <c r="BV161" i="3" l="1"/>
  <c r="BT161" i="3"/>
  <c r="BS161" i="3"/>
  <c r="AD34" i="15" s="1"/>
  <c r="AE34" i="15" s="1"/>
  <c r="BR161" i="3"/>
  <c r="AD120" i="15" s="1"/>
  <c r="AE120" i="15" s="1"/>
  <c r="BQ161" i="3"/>
  <c r="W34" i="15" s="1"/>
  <c r="BP161" i="3"/>
  <c r="W120" i="15" s="1"/>
  <c r="BO161" i="3"/>
  <c r="P34" i="15" s="1"/>
  <c r="BN161" i="3"/>
  <c r="P120" i="15" s="1"/>
  <c r="BM161" i="3"/>
  <c r="I34" i="15" s="1"/>
  <c r="BL161" i="3"/>
  <c r="I120" i="15" s="1"/>
  <c r="BI161" i="3"/>
  <c r="AF120" i="15" s="1"/>
  <c r="AG120" i="15" s="1"/>
  <c r="BH161" i="3"/>
  <c r="AC34" i="15" s="1"/>
  <c r="BG161" i="3"/>
  <c r="AY161" i="3"/>
  <c r="Y120" i="15" s="1"/>
  <c r="Z120" i="15" s="1"/>
  <c r="AX161" i="3"/>
  <c r="V34" i="15" s="1"/>
  <c r="AW161" i="3"/>
  <c r="AO161" i="3"/>
  <c r="R120" i="15" s="1"/>
  <c r="S120" i="15" s="1"/>
  <c r="AN161" i="3"/>
  <c r="O34" i="15" s="1"/>
  <c r="AM161" i="3"/>
  <c r="AE161" i="3"/>
  <c r="K120" i="15" s="1"/>
  <c r="AD161" i="3"/>
  <c r="H34" i="15" s="1"/>
  <c r="AC161" i="3"/>
  <c r="V161" i="3"/>
  <c r="AF161" i="3" s="1"/>
  <c r="K34" i="15" s="1"/>
  <c r="U161" i="3"/>
  <c r="C163" i="3"/>
  <c r="BT160" i="3"/>
  <c r="BR160" i="3"/>
  <c r="AD119" i="15" s="1"/>
  <c r="AE119" i="15" s="1"/>
  <c r="BP160" i="3"/>
  <c r="W119" i="15" s="1"/>
  <c r="BO160" i="3"/>
  <c r="P33" i="15" s="1"/>
  <c r="BN160" i="3"/>
  <c r="P119" i="15" s="1"/>
  <c r="BM160" i="3"/>
  <c r="I33" i="15" s="1"/>
  <c r="BL160" i="3"/>
  <c r="I119" i="15" s="1"/>
  <c r="BI160" i="3"/>
  <c r="AF119" i="15" s="1"/>
  <c r="AG119" i="15" s="1"/>
  <c r="BG160" i="3"/>
  <c r="AY160" i="3"/>
  <c r="Y119" i="15" s="1"/>
  <c r="Z119" i="15" s="1"/>
  <c r="AW160" i="3"/>
  <c r="AO160" i="3"/>
  <c r="R119" i="15" s="1"/>
  <c r="S119" i="15" s="1"/>
  <c r="AN160" i="3"/>
  <c r="O33" i="15" s="1"/>
  <c r="AM160" i="3"/>
  <c r="AE160" i="3"/>
  <c r="K119" i="15" s="1"/>
  <c r="AD160" i="3"/>
  <c r="H33" i="15" s="1"/>
  <c r="AC160" i="3"/>
  <c r="V160" i="3"/>
  <c r="AZ160" i="3" s="1"/>
  <c r="Y33" i="15" s="1"/>
  <c r="Z33" i="15" s="1"/>
  <c r="AA33" i="15" s="1"/>
  <c r="U160" i="3"/>
  <c r="BT159" i="3"/>
  <c r="BR159" i="3"/>
  <c r="AD118" i="15" s="1"/>
  <c r="AE118" i="15" s="1"/>
  <c r="BP159" i="3"/>
  <c r="W118" i="15" s="1"/>
  <c r="X118" i="15" s="1"/>
  <c r="BO159" i="3"/>
  <c r="P32" i="15" s="1"/>
  <c r="BN159" i="3"/>
  <c r="P118" i="15" s="1"/>
  <c r="BM159" i="3"/>
  <c r="I32" i="15" s="1"/>
  <c r="BL159" i="3"/>
  <c r="I118" i="15" s="1"/>
  <c r="BJ159" i="3"/>
  <c r="AF32" i="15" s="1"/>
  <c r="AG32" i="15" s="1"/>
  <c r="BI159" i="3"/>
  <c r="AF118" i="15" s="1"/>
  <c r="AG118" i="15" s="1"/>
  <c r="BG159" i="3"/>
  <c r="BD159" i="3"/>
  <c r="BS159" i="3" s="1"/>
  <c r="AD32" i="15" s="1"/>
  <c r="AE32" i="15" s="1"/>
  <c r="AZ159" i="3"/>
  <c r="Y32" i="15" s="1"/>
  <c r="Z32" i="15" s="1"/>
  <c r="AA32" i="15" s="1"/>
  <c r="AY159" i="3"/>
  <c r="Y118" i="15" s="1"/>
  <c r="Z118" i="15" s="1"/>
  <c r="AA118" i="15" s="1"/>
  <c r="AW159" i="3"/>
  <c r="AT159" i="3"/>
  <c r="AX159" i="3" s="1"/>
  <c r="V32" i="15" s="1"/>
  <c r="AP159" i="3"/>
  <c r="R32" i="15" s="1"/>
  <c r="S32" i="15" s="1"/>
  <c r="AO159" i="3"/>
  <c r="R118" i="15" s="1"/>
  <c r="S118" i="15" s="1"/>
  <c r="AN159" i="3"/>
  <c r="O32" i="15" s="1"/>
  <c r="AM159" i="3"/>
  <c r="AF159" i="3"/>
  <c r="K32" i="15" s="1"/>
  <c r="AE159" i="3"/>
  <c r="K118" i="15" s="1"/>
  <c r="AD159" i="3"/>
  <c r="H32" i="15" s="1"/>
  <c r="AC159" i="3"/>
  <c r="U159" i="3"/>
  <c r="BC161" i="3" l="1"/>
  <c r="Y161" i="3"/>
  <c r="AI161" i="3"/>
  <c r="AS161" i="3"/>
  <c r="BC160" i="3"/>
  <c r="Y160" i="3"/>
  <c r="AI160" i="3"/>
  <c r="AS160" i="3"/>
  <c r="BU159" i="3"/>
  <c r="AS159" i="3"/>
  <c r="BC159" i="3"/>
  <c r="Y159" i="3"/>
  <c r="AI159" i="3"/>
  <c r="AZ161" i="3"/>
  <c r="Y34" i="15" s="1"/>
  <c r="Z34" i="15" s="1"/>
  <c r="BJ161" i="3"/>
  <c r="AF34" i="15" s="1"/>
  <c r="AG34" i="15" s="1"/>
  <c r="BU161" i="3"/>
  <c r="AP161" i="3"/>
  <c r="R34" i="15" s="1"/>
  <c r="S34" i="15" s="1"/>
  <c r="AF160" i="3"/>
  <c r="K33" i="15" s="1"/>
  <c r="BH159" i="3"/>
  <c r="AC32" i="15" s="1"/>
  <c r="BQ159" i="3"/>
  <c r="W32" i="15" s="1"/>
  <c r="X32" i="15" s="1"/>
  <c r="AP160" i="3"/>
  <c r="R33" i="15" s="1"/>
  <c r="S33" i="15" s="1"/>
  <c r="BD160" i="3"/>
  <c r="AT160" i="3"/>
  <c r="BJ160" i="3"/>
  <c r="AF33" i="15" s="1"/>
  <c r="AG33" i="15" s="1"/>
  <c r="BU160" i="3"/>
  <c r="BS160" i="3" l="1"/>
  <c r="AD33" i="15" s="1"/>
  <c r="AE33" i="15" s="1"/>
  <c r="BH160" i="3"/>
  <c r="AC33" i="15" s="1"/>
  <c r="BV160" i="3"/>
  <c r="AX160" i="3"/>
  <c r="V33" i="15" s="1"/>
  <c r="BQ160" i="3"/>
  <c r="W33" i="15" s="1"/>
  <c r="X33" i="15" s="1"/>
  <c r="AK62" i="3" l="1"/>
  <c r="AK61" i="3"/>
  <c r="AK60" i="3"/>
  <c r="AK59" i="3"/>
  <c r="AC74" i="15" l="1"/>
  <c r="V74" i="15"/>
  <c r="O74" i="15"/>
  <c r="AC73" i="15"/>
  <c r="V73" i="15"/>
  <c r="O73" i="15"/>
  <c r="H74" i="15"/>
  <c r="H73" i="15"/>
  <c r="F74" i="15"/>
  <c r="F73" i="15"/>
  <c r="D74" i="15"/>
  <c r="D73" i="15"/>
  <c r="AK74" i="3" l="1"/>
  <c r="AK73" i="3"/>
  <c r="AK71" i="3"/>
  <c r="AK68" i="3"/>
  <c r="AK13" i="3" l="1"/>
  <c r="AK41" i="3" l="1"/>
  <c r="AK40" i="3"/>
  <c r="AK106" i="3" l="1"/>
  <c r="O194" i="15" s="1"/>
  <c r="AK103" i="3"/>
  <c r="AK100" i="3" l="1"/>
  <c r="AL99" i="3"/>
  <c r="AK99" i="3"/>
  <c r="AK98" i="3" l="1"/>
  <c r="AL92" i="3"/>
  <c r="AK121" i="3" l="1"/>
  <c r="AK118" i="3"/>
  <c r="AK117" i="3"/>
  <c r="AK115" i="3"/>
  <c r="AL142" i="3" l="1"/>
  <c r="AK142" i="3" s="1"/>
  <c r="BT158" i="3" l="1"/>
  <c r="BR158" i="3"/>
  <c r="BP158" i="3"/>
  <c r="BN158" i="3"/>
  <c r="BL158" i="3"/>
  <c r="BI158" i="3"/>
  <c r="BG158" i="3"/>
  <c r="AY158" i="3"/>
  <c r="AW158" i="3"/>
  <c r="AO158" i="3"/>
  <c r="AM158" i="3"/>
  <c r="AE158" i="3"/>
  <c r="AC158" i="3"/>
  <c r="Z158" i="3"/>
  <c r="AD158" i="3" s="1"/>
  <c r="V158" i="3"/>
  <c r="BJ158" i="3" s="1"/>
  <c r="AF74" i="15" s="1"/>
  <c r="AG74" i="15" s="1"/>
  <c r="U158" i="3"/>
  <c r="BT157" i="3"/>
  <c r="BS157" i="3"/>
  <c r="AD73" i="15" s="1"/>
  <c r="BR157" i="3"/>
  <c r="BQ157" i="3"/>
  <c r="W73" i="15" s="1"/>
  <c r="X73" i="15" s="1"/>
  <c r="BP157" i="3"/>
  <c r="BO157" i="3"/>
  <c r="P73" i="15" s="1"/>
  <c r="BN157" i="3"/>
  <c r="BL157" i="3"/>
  <c r="BI157" i="3"/>
  <c r="BH157" i="3"/>
  <c r="BG157" i="3"/>
  <c r="AY157" i="3"/>
  <c r="AX157" i="3"/>
  <c r="AW157" i="3"/>
  <c r="AO157" i="3"/>
  <c r="AE157" i="3"/>
  <c r="AC157" i="3"/>
  <c r="Z157" i="3"/>
  <c r="AD157" i="3" s="1"/>
  <c r="V157" i="3"/>
  <c r="BJ157" i="3" s="1"/>
  <c r="AF73" i="15" s="1"/>
  <c r="AG73" i="15" s="1"/>
  <c r="U157" i="3"/>
  <c r="BT88" i="3"/>
  <c r="BS88" i="3"/>
  <c r="BR88" i="3"/>
  <c r="BQ88" i="3"/>
  <c r="BP88" i="3"/>
  <c r="BO88" i="3"/>
  <c r="P72" i="15" s="1"/>
  <c r="Q72" i="15" s="1"/>
  <c r="BH88" i="3"/>
  <c r="BG88" i="3"/>
  <c r="AX88" i="3"/>
  <c r="AW88" i="3"/>
  <c r="AN88" i="3"/>
  <c r="AK88" i="3"/>
  <c r="BN88" i="3" s="1"/>
  <c r="AB88" i="3"/>
  <c r="Z88" i="3"/>
  <c r="BV88" i="3" s="1"/>
  <c r="U88" i="3"/>
  <c r="K88" i="3"/>
  <c r="V88" i="3" s="1"/>
  <c r="AF88" i="3" s="1"/>
  <c r="BR87" i="3"/>
  <c r="BP87" i="3"/>
  <c r="BG87" i="3"/>
  <c r="AW87" i="3"/>
  <c r="AB87" i="3"/>
  <c r="U87" i="3"/>
  <c r="K87" i="3"/>
  <c r="V87" i="3" s="1"/>
  <c r="X87" i="3" s="1"/>
  <c r="BT87" i="3" s="1"/>
  <c r="BV86" i="3"/>
  <c r="BT86" i="3"/>
  <c r="BS86" i="3"/>
  <c r="BR86" i="3"/>
  <c r="BQ86" i="3"/>
  <c r="BP86" i="3"/>
  <c r="BO86" i="3"/>
  <c r="P70" i="15" s="1"/>
  <c r="Q70" i="15" s="1"/>
  <c r="BH86" i="3"/>
  <c r="BG86" i="3"/>
  <c r="AX86" i="3"/>
  <c r="AW86" i="3"/>
  <c r="AN86" i="3"/>
  <c r="AK86" i="3"/>
  <c r="AM86" i="3" s="1"/>
  <c r="AB86" i="3"/>
  <c r="AD86" i="3" s="1"/>
  <c r="V86" i="3"/>
  <c r="U86" i="3"/>
  <c r="BV85" i="3"/>
  <c r="BT85" i="3"/>
  <c r="BS85" i="3"/>
  <c r="BR85" i="3"/>
  <c r="BQ85" i="3"/>
  <c r="BP85" i="3"/>
  <c r="BO85" i="3"/>
  <c r="P69" i="15" s="1"/>
  <c r="Q69" i="15" s="1"/>
  <c r="BH85" i="3"/>
  <c r="BG85" i="3"/>
  <c r="AX85" i="3"/>
  <c r="AW85" i="3"/>
  <c r="AN85" i="3"/>
  <c r="AK85" i="3"/>
  <c r="BN85" i="3" s="1"/>
  <c r="AB85" i="3"/>
  <c r="V85" i="3"/>
  <c r="U85" i="3"/>
  <c r="BT84" i="3"/>
  <c r="BR84" i="3"/>
  <c r="BP84" i="3"/>
  <c r="BN84" i="3"/>
  <c r="BM84" i="3"/>
  <c r="BL84" i="3"/>
  <c r="BI84" i="3"/>
  <c r="BG84" i="3"/>
  <c r="AY84" i="3"/>
  <c r="AW84" i="3"/>
  <c r="AO84" i="3"/>
  <c r="AM84" i="3"/>
  <c r="AE84" i="3"/>
  <c r="AD84" i="3"/>
  <c r="AC84" i="3"/>
  <c r="V84" i="3"/>
  <c r="AP84" i="3" s="1"/>
  <c r="U84" i="3"/>
  <c r="BP83" i="3"/>
  <c r="AW83" i="3"/>
  <c r="AL83" i="3"/>
  <c r="BN83" i="3"/>
  <c r="AB83" i="3"/>
  <c r="U83" i="3"/>
  <c r="K83" i="3"/>
  <c r="V83" i="3" s="1"/>
  <c r="X83" i="3" s="1"/>
  <c r="BB83" i="3" s="1"/>
  <c r="BG83" i="3" s="1"/>
  <c r="BT82" i="3"/>
  <c r="BR82" i="3"/>
  <c r="BP82" i="3"/>
  <c r="BO82" i="3"/>
  <c r="P68" i="15" s="1"/>
  <c r="BN82" i="3"/>
  <c r="BM82" i="3"/>
  <c r="BL82" i="3"/>
  <c r="BI82" i="3"/>
  <c r="BG82" i="3"/>
  <c r="AY82" i="3"/>
  <c r="AW82" i="3"/>
  <c r="AO82" i="3"/>
  <c r="AN82" i="3"/>
  <c r="AM82" i="3"/>
  <c r="AE82" i="3"/>
  <c r="AD82" i="3"/>
  <c r="AC82" i="3"/>
  <c r="V82" i="3"/>
  <c r="BJ82" i="3" s="1"/>
  <c r="U82" i="3"/>
  <c r="BT81" i="3"/>
  <c r="BR81" i="3"/>
  <c r="BP81" i="3"/>
  <c r="BM81" i="3"/>
  <c r="BL81" i="3"/>
  <c r="BG81" i="3"/>
  <c r="AW81" i="3"/>
  <c r="AE81" i="3"/>
  <c r="AD81" i="3"/>
  <c r="AC81" i="3"/>
  <c r="U81" i="3"/>
  <c r="K81" i="3"/>
  <c r="V81" i="3" s="1"/>
  <c r="BP80" i="3"/>
  <c r="AW80" i="3"/>
  <c r="U80" i="3"/>
  <c r="K80" i="3"/>
  <c r="AS158" i="3" l="1"/>
  <c r="BC158" i="3"/>
  <c r="Y158" i="3"/>
  <c r="AI158" i="3"/>
  <c r="BU80" i="3"/>
  <c r="AS80" i="3"/>
  <c r="Y80" i="3"/>
  <c r="BC80" i="3"/>
  <c r="AI80" i="3"/>
  <c r="BU84" i="3"/>
  <c r="AS84" i="3"/>
  <c r="Y84" i="3"/>
  <c r="BC84" i="3"/>
  <c r="AI84" i="3"/>
  <c r="AS157" i="3"/>
  <c r="BC157" i="3"/>
  <c r="AI157" i="3"/>
  <c r="Y157" i="3"/>
  <c r="BU82" i="3"/>
  <c r="AI82" i="3"/>
  <c r="AS82" i="3"/>
  <c r="BC82" i="3"/>
  <c r="Y82" i="3"/>
  <c r="BU85" i="3"/>
  <c r="Y85" i="3"/>
  <c r="BC85" i="3"/>
  <c r="AS85" i="3"/>
  <c r="AI85" i="3"/>
  <c r="BU86" i="3"/>
  <c r="BC86" i="3"/>
  <c r="Y86" i="3"/>
  <c r="AI86" i="3"/>
  <c r="AS86" i="3"/>
  <c r="BU88" i="3"/>
  <c r="AS88" i="3"/>
  <c r="Y88" i="3"/>
  <c r="BC88" i="3"/>
  <c r="AI88" i="3"/>
  <c r="BU83" i="3"/>
  <c r="AS83" i="3"/>
  <c r="BC83" i="3"/>
  <c r="AI83" i="3"/>
  <c r="Y83" i="3"/>
  <c r="BU87" i="3"/>
  <c r="BC87" i="3"/>
  <c r="Y87" i="3"/>
  <c r="AI87" i="3"/>
  <c r="AS87" i="3"/>
  <c r="BU81" i="3"/>
  <c r="AS81" i="3"/>
  <c r="AI81" i="3"/>
  <c r="BC81" i="3"/>
  <c r="Y81" i="3"/>
  <c r="BT83" i="3"/>
  <c r="BR83" i="3"/>
  <c r="AZ85" i="3"/>
  <c r="AF86" i="3"/>
  <c r="BM86" i="3"/>
  <c r="AP157" i="3"/>
  <c r="R73" i="15" s="1"/>
  <c r="S73" i="15" s="1"/>
  <c r="AZ86" i="3"/>
  <c r="AF82" i="3"/>
  <c r="AD88" i="3"/>
  <c r="AZ84" i="3"/>
  <c r="AZ157" i="3"/>
  <c r="Y73" i="15" s="1"/>
  <c r="Z73" i="15" s="1"/>
  <c r="AA73" i="15" s="1"/>
  <c r="AF157" i="3"/>
  <c r="K73" i="15" s="1"/>
  <c r="BD82" i="3"/>
  <c r="BS82" i="3" s="1"/>
  <c r="AT158" i="3"/>
  <c r="AX158" i="3" s="1"/>
  <c r="AF84" i="3"/>
  <c r="BD84" i="3"/>
  <c r="AJ84" i="3"/>
  <c r="BO84" i="3" s="1"/>
  <c r="BN86" i="3"/>
  <c r="AZ158" i="3"/>
  <c r="Y74" i="15" s="1"/>
  <c r="Z74" i="15" s="1"/>
  <c r="AA74" i="15" s="1"/>
  <c r="AT82" i="3"/>
  <c r="BV82" i="3" s="1"/>
  <c r="BJ84" i="3"/>
  <c r="AF158" i="3"/>
  <c r="K74" i="15" s="1"/>
  <c r="AT84" i="3"/>
  <c r="BQ84" i="3" s="1"/>
  <c r="BD158" i="3"/>
  <c r="BS158" i="3" s="1"/>
  <c r="AD74" i="15" s="1"/>
  <c r="AE74" i="15" s="1"/>
  <c r="BU158" i="3"/>
  <c r="AZ82" i="3"/>
  <c r="AF85" i="3"/>
  <c r="AP158" i="3"/>
  <c r="R74" i="15" s="1"/>
  <c r="S74" i="15" s="1"/>
  <c r="T74" i="15" s="1"/>
  <c r="BM157" i="3"/>
  <c r="I73" i="15" s="1"/>
  <c r="BU157" i="3"/>
  <c r="BV157" i="3"/>
  <c r="AJ158" i="3"/>
  <c r="BM158" i="3"/>
  <c r="I74" i="15" s="1"/>
  <c r="AZ87" i="3"/>
  <c r="BD87" i="3"/>
  <c r="AT87" i="3"/>
  <c r="AA87" i="3"/>
  <c r="AJ87" i="3"/>
  <c r="AF87" i="3"/>
  <c r="AP87" i="3"/>
  <c r="BJ87" i="3"/>
  <c r="AM88" i="3"/>
  <c r="AA88" i="3"/>
  <c r="BI88" i="3" s="1"/>
  <c r="AA86" i="3"/>
  <c r="AO86" i="3" s="1"/>
  <c r="AZ88" i="3"/>
  <c r="BJ88" i="3"/>
  <c r="AP86" i="3"/>
  <c r="BJ86" i="3"/>
  <c r="AP88" i="3"/>
  <c r="BM88" i="3"/>
  <c r="AA85" i="3"/>
  <c r="AO85" i="3" s="1"/>
  <c r="AP85" i="3"/>
  <c r="BJ85" i="3"/>
  <c r="AM85" i="3"/>
  <c r="AD85" i="3"/>
  <c r="BM85" i="3"/>
  <c r="AZ83" i="3"/>
  <c r="BD83" i="3"/>
  <c r="AT83" i="3"/>
  <c r="AF83" i="3"/>
  <c r="AP83" i="3"/>
  <c r="AJ83" i="3"/>
  <c r="BJ83" i="3"/>
  <c r="AM83" i="3"/>
  <c r="AJ81" i="3"/>
  <c r="AZ81" i="3"/>
  <c r="BJ81" i="3"/>
  <c r="AF81" i="3"/>
  <c r="AT81" i="3"/>
  <c r="AP81" i="3"/>
  <c r="BD81" i="3"/>
  <c r="AP82" i="3"/>
  <c r="V80" i="3"/>
  <c r="BI86" i="3" l="1"/>
  <c r="BH82" i="3"/>
  <c r="BV158" i="3"/>
  <c r="AX84" i="3"/>
  <c r="AY88" i="3"/>
  <c r="BH158" i="3"/>
  <c r="BV84" i="3"/>
  <c r="AO88" i="3"/>
  <c r="BQ158" i="3"/>
  <c r="W74" i="15" s="1"/>
  <c r="X74" i="15" s="1"/>
  <c r="AX82" i="3"/>
  <c r="BQ82" i="3"/>
  <c r="AN84" i="3"/>
  <c r="BH84" i="3"/>
  <c r="BS84" i="3"/>
  <c r="AN158" i="3"/>
  <c r="BO158" i="3"/>
  <c r="P74" i="15" s="1"/>
  <c r="Q74" i="15" s="1"/>
  <c r="BO87" i="3"/>
  <c r="P71" i="15" s="1"/>
  <c r="Q71" i="15" s="1"/>
  <c r="AN87" i="3"/>
  <c r="AK87" i="3"/>
  <c r="AM87" i="3" s="1"/>
  <c r="AC87" i="3"/>
  <c r="BL87" i="3"/>
  <c r="AE87" i="3"/>
  <c r="AE86" i="3"/>
  <c r="BL86" i="3"/>
  <c r="AC86" i="3"/>
  <c r="AY86" i="3"/>
  <c r="AX87" i="3"/>
  <c r="BQ87" i="3"/>
  <c r="AD87" i="3"/>
  <c r="BV87" i="3"/>
  <c r="BM87" i="3"/>
  <c r="AE88" i="3"/>
  <c r="BL88" i="3"/>
  <c r="AC88" i="3"/>
  <c r="BH87" i="3"/>
  <c r="BS87" i="3"/>
  <c r="AY85" i="3"/>
  <c r="AE85" i="3"/>
  <c r="BL85" i="3"/>
  <c r="AC85" i="3"/>
  <c r="BI85" i="3"/>
  <c r="BH83" i="3"/>
  <c r="BS83" i="3"/>
  <c r="BO83" i="3"/>
  <c r="AN83" i="3"/>
  <c r="BV83" i="3"/>
  <c r="BM83" i="3"/>
  <c r="AA83" i="3"/>
  <c r="AD83" i="3"/>
  <c r="AX83" i="3"/>
  <c r="BQ83" i="3"/>
  <c r="AX81" i="3"/>
  <c r="BQ81" i="3"/>
  <c r="BS81" i="3"/>
  <c r="BH81" i="3"/>
  <c r="AK81" i="3"/>
  <c r="BO81" i="3"/>
  <c r="P67" i="15" s="1"/>
  <c r="Q67" i="15" s="1"/>
  <c r="AN81" i="3"/>
  <c r="BV81" i="3"/>
  <c r="AP80" i="3"/>
  <c r="AT80" i="3"/>
  <c r="AF80" i="3"/>
  <c r="AJ80" i="3"/>
  <c r="BJ80" i="3"/>
  <c r="AZ80" i="3"/>
  <c r="AO87" i="3" l="1"/>
  <c r="AY87" i="3"/>
  <c r="BN87" i="3"/>
  <c r="BI87" i="3"/>
  <c r="AY83" i="3"/>
  <c r="BL83" i="3"/>
  <c r="AE83" i="3"/>
  <c r="AO83" i="3"/>
  <c r="BI83" i="3"/>
  <c r="AC83" i="3"/>
  <c r="AY81" i="3"/>
  <c r="BI81" i="3"/>
  <c r="BN81" i="3"/>
  <c r="AM81" i="3"/>
  <c r="AO81" i="3"/>
  <c r="AX80" i="3"/>
  <c r="BQ80" i="3"/>
  <c r="BO80" i="3"/>
  <c r="P66" i="15" s="1"/>
  <c r="Q66" i="15" s="1"/>
  <c r="AN80" i="3"/>
  <c r="AK80" i="3"/>
  <c r="BN80" i="3" l="1"/>
  <c r="AM80" i="3"/>
  <c r="AK79" i="3" l="1"/>
  <c r="AK77" i="3"/>
  <c r="AK125" i="3" l="1"/>
  <c r="C24" i="26" l="1"/>
  <c r="C28" i="26"/>
  <c r="C19" i="26" l="1"/>
  <c r="C29" i="26"/>
  <c r="AC214" i="15"/>
  <c r="V214" i="15"/>
  <c r="O214" i="15"/>
  <c r="AY11" i="3"/>
  <c r="AW11" i="3"/>
  <c r="BI11" i="3"/>
  <c r="BG11" i="3"/>
  <c r="BG10" i="3"/>
  <c r="AW10" i="3"/>
  <c r="AM10" i="3"/>
  <c r="AB52" i="3" l="1"/>
  <c r="AB48" i="3"/>
  <c r="AB125" i="3"/>
  <c r="K68" i="3" l="1"/>
  <c r="BS89" i="3" l="1"/>
  <c r="BR89" i="3"/>
  <c r="BQ89" i="3"/>
  <c r="BP89" i="3"/>
  <c r="BO89" i="3"/>
  <c r="BN89" i="3"/>
  <c r="BM89" i="3"/>
  <c r="BL89" i="3"/>
  <c r="D63" i="15" l="1"/>
  <c r="AC131" i="3" l="1"/>
  <c r="H214" i="15"/>
  <c r="F214" i="15"/>
  <c r="D214" i="15"/>
  <c r="D90" i="15"/>
  <c r="AB126" i="3"/>
  <c r="K151" i="3"/>
  <c r="V151" i="3" s="1"/>
  <c r="D103" i="15" l="1"/>
  <c r="D24" i="15"/>
  <c r="AC80" i="15"/>
  <c r="AC79" i="15"/>
  <c r="V80" i="15"/>
  <c r="V79" i="15"/>
  <c r="O80" i="15"/>
  <c r="E104" i="15"/>
  <c r="E97" i="15"/>
  <c r="D100" i="15" l="1"/>
  <c r="AA99" i="3"/>
  <c r="K156" i="3" l="1"/>
  <c r="BT156" i="3" l="1"/>
  <c r="BS156" i="3"/>
  <c r="AD103" i="15" s="1"/>
  <c r="BR156" i="3"/>
  <c r="BQ156" i="3"/>
  <c r="W103" i="15" s="1"/>
  <c r="BP156" i="3"/>
  <c r="BN156" i="3"/>
  <c r="BH156" i="3"/>
  <c r="AC103" i="15" s="1"/>
  <c r="BG156" i="3"/>
  <c r="AX156" i="3"/>
  <c r="V103" i="15" s="1"/>
  <c r="AW156" i="3"/>
  <c r="AM156" i="3"/>
  <c r="V156" i="3"/>
  <c r="U156" i="3"/>
  <c r="AI156" i="3" l="1"/>
  <c r="AS156" i="3"/>
  <c r="BC156" i="3"/>
  <c r="Y156" i="3"/>
  <c r="AZ156" i="3"/>
  <c r="Y103" i="15" s="1"/>
  <c r="Z103" i="15" s="1"/>
  <c r="AA103" i="15" s="1"/>
  <c r="Z156" i="3"/>
  <c r="AF156" i="3"/>
  <c r="K103" i="15" s="1"/>
  <c r="AJ156" i="3"/>
  <c r="BO156" i="3" s="1"/>
  <c r="P103" i="15" s="1"/>
  <c r="Q103" i="15" s="1"/>
  <c r="BJ156" i="3"/>
  <c r="AF103" i="15" s="1"/>
  <c r="AG103" i="15" s="1"/>
  <c r="AP156" i="3"/>
  <c r="R103" i="15" s="1"/>
  <c r="S103" i="15" s="1"/>
  <c r="T103" i="15" s="1"/>
  <c r="BU156" i="3"/>
  <c r="AA156" i="3" l="1"/>
  <c r="BM156" i="3"/>
  <c r="I103" i="15" s="1"/>
  <c r="AD156" i="3"/>
  <c r="H103" i="15" s="1"/>
  <c r="AN156" i="3"/>
  <c r="O103" i="15" s="1"/>
  <c r="U94" i="3"/>
  <c r="U93" i="3"/>
  <c r="Y93" i="3" l="1"/>
  <c r="BC93" i="3"/>
  <c r="AS93" i="3"/>
  <c r="AI93" i="3"/>
  <c r="BC94" i="3"/>
  <c r="AS94" i="3"/>
  <c r="AI94" i="3"/>
  <c r="Y94" i="3"/>
  <c r="BI156" i="3"/>
  <c r="AE156" i="3"/>
  <c r="AO156" i="3"/>
  <c r="BL156" i="3"/>
  <c r="AC156" i="3"/>
  <c r="AY156" i="3"/>
  <c r="AA90" i="3"/>
  <c r="AF151" i="3" l="1"/>
  <c r="K79" i="15" s="1"/>
  <c r="BG152" i="3"/>
  <c r="BR152" i="3"/>
  <c r="BO152" i="3"/>
  <c r="P80" i="15" s="1"/>
  <c r="BN152" i="3"/>
  <c r="BM152" i="3"/>
  <c r="I80" i="15" s="1"/>
  <c r="AT152" i="3"/>
  <c r="BQ152" i="3" s="1"/>
  <c r="W80" i="15" s="1"/>
  <c r="X80" i="15" s="1"/>
  <c r="AD152" i="3"/>
  <c r="H80" i="15" s="1"/>
  <c r="AA152" i="3"/>
  <c r="AO152" i="3" s="1"/>
  <c r="BD152" i="3"/>
  <c r="BS152" i="3" s="1"/>
  <c r="AD80" i="15" s="1"/>
  <c r="AE80" i="15" s="1"/>
  <c r="AN152" i="3"/>
  <c r="AM152" i="3"/>
  <c r="V152" i="3"/>
  <c r="AZ152" i="3" s="1"/>
  <c r="Y80" i="15" s="1"/>
  <c r="Z80" i="15" s="1"/>
  <c r="AA80" i="15" s="1"/>
  <c r="U152" i="3"/>
  <c r="AB135" i="3"/>
  <c r="AA123" i="3"/>
  <c r="BT151" i="3"/>
  <c r="BS151" i="3"/>
  <c r="AD79" i="15" s="1"/>
  <c r="AE79" i="15" s="1"/>
  <c r="BR151" i="3"/>
  <c r="BQ151" i="3"/>
  <c r="W79" i="15" s="1"/>
  <c r="X79" i="15" s="1"/>
  <c r="BP151" i="3"/>
  <c r="BH151" i="3"/>
  <c r="BG151" i="3"/>
  <c r="AX151" i="3"/>
  <c r="AW151" i="3"/>
  <c r="BS131" i="3"/>
  <c r="AD90" i="15" s="1"/>
  <c r="AE90" i="15" s="1"/>
  <c r="BQ131" i="3"/>
  <c r="W90" i="15" s="1"/>
  <c r="X90" i="15" s="1"/>
  <c r="BO131" i="3"/>
  <c r="P90" i="15" s="1"/>
  <c r="Q90" i="15" s="1"/>
  <c r="V131" i="3"/>
  <c r="U151" i="3"/>
  <c r="BR131" i="3"/>
  <c r="AD214" i="15" s="1"/>
  <c r="AE214" i="15" s="1"/>
  <c r="BP131" i="3"/>
  <c r="W214" i="15" s="1"/>
  <c r="X214" i="15" s="1"/>
  <c r="BN131" i="3"/>
  <c r="P214" i="15" s="1"/>
  <c r="Q214" i="15" s="1"/>
  <c r="BL131" i="3"/>
  <c r="I214" i="15" s="1"/>
  <c r="BI131" i="3"/>
  <c r="AF214" i="15" s="1"/>
  <c r="AG214" i="15" s="1"/>
  <c r="BH131" i="3"/>
  <c r="AC90" i="15" s="1"/>
  <c r="BG131" i="3"/>
  <c r="AY131" i="3"/>
  <c r="Y214" i="15" s="1"/>
  <c r="Z214" i="15" s="1"/>
  <c r="AA214" i="15" s="1"/>
  <c r="AX131" i="3"/>
  <c r="V90" i="15" s="1"/>
  <c r="AW131" i="3"/>
  <c r="AO131" i="3"/>
  <c r="R214" i="15" s="1"/>
  <c r="S214" i="15" s="1"/>
  <c r="T214" i="15" s="1"/>
  <c r="AN131" i="3"/>
  <c r="O90" i="15" s="1"/>
  <c r="AM131" i="3"/>
  <c r="AE131" i="3"/>
  <c r="K214" i="15" s="1"/>
  <c r="AB132" i="3"/>
  <c r="BT131" i="3"/>
  <c r="U131" i="3"/>
  <c r="AM134" i="3"/>
  <c r="BU131" i="3" l="1"/>
  <c r="AS131" i="3"/>
  <c r="BC131" i="3"/>
  <c r="AI131" i="3"/>
  <c r="Y131" i="3"/>
  <c r="BC152" i="3"/>
  <c r="Y152" i="3"/>
  <c r="AI152" i="3"/>
  <c r="AS152" i="3"/>
  <c r="BU151" i="3"/>
  <c r="AS151" i="3"/>
  <c r="BC151" i="3"/>
  <c r="Y151" i="3"/>
  <c r="AI151" i="3"/>
  <c r="BH152" i="3"/>
  <c r="AZ131" i="3"/>
  <c r="Y90" i="15" s="1"/>
  <c r="Z90" i="15" s="1"/>
  <c r="AA90" i="15" s="1"/>
  <c r="Z131" i="3"/>
  <c r="AD131" i="3" s="1"/>
  <c r="BV152" i="3"/>
  <c r="AX152" i="3"/>
  <c r="AF131" i="3"/>
  <c r="K90" i="15" s="1"/>
  <c r="AP152" i="3"/>
  <c r="R80" i="15" s="1"/>
  <c r="S80" i="15" s="1"/>
  <c r="T80" i="15" s="1"/>
  <c r="AR152" i="3"/>
  <c r="BI152" i="3"/>
  <c r="X152" i="3"/>
  <c r="AC152" i="3" s="1"/>
  <c r="BJ152" i="3"/>
  <c r="AF80" i="15" s="1"/>
  <c r="AG80" i="15" s="1"/>
  <c r="Z151" i="3"/>
  <c r="AD151" i="3" s="1"/>
  <c r="H79" i="15" s="1"/>
  <c r="AE152" i="3"/>
  <c r="AY152" i="3"/>
  <c r="AF152" i="3"/>
  <c r="K80" i="15" s="1"/>
  <c r="AJ151" i="3"/>
  <c r="BU152" i="3"/>
  <c r="BJ151" i="3"/>
  <c r="AF79" i="15" s="1"/>
  <c r="AG79" i="15" s="1"/>
  <c r="AP151" i="3"/>
  <c r="R79" i="15" s="1"/>
  <c r="S79" i="15" s="1"/>
  <c r="T79" i="15" s="1"/>
  <c r="AZ151" i="3"/>
  <c r="Y79" i="15" s="1"/>
  <c r="Z79" i="15" s="1"/>
  <c r="AA79" i="15" s="1"/>
  <c r="BJ131" i="3"/>
  <c r="AF90" i="15" s="1"/>
  <c r="AG90" i="15" s="1"/>
  <c r="AP131" i="3"/>
  <c r="R90" i="15" s="1"/>
  <c r="S90" i="15" s="1"/>
  <c r="T90" i="15" s="1"/>
  <c r="AA10" i="3"/>
  <c r="AC141" i="15"/>
  <c r="V141" i="15"/>
  <c r="O141" i="15"/>
  <c r="H141" i="15"/>
  <c r="BV69" i="3"/>
  <c r="BT69" i="3"/>
  <c r="BR69" i="3"/>
  <c r="AD141" i="15" s="1"/>
  <c r="AE141" i="15" s="1"/>
  <c r="BQ69" i="3"/>
  <c r="W105" i="15" s="1"/>
  <c r="BP69" i="3"/>
  <c r="W141" i="15" s="1"/>
  <c r="BO69" i="3"/>
  <c r="P105" i="15" s="1"/>
  <c r="BN69" i="3"/>
  <c r="P141" i="15" s="1"/>
  <c r="BM69" i="3"/>
  <c r="I105" i="15" s="1"/>
  <c r="BL69" i="3"/>
  <c r="I141" i="15" s="1"/>
  <c r="BI69" i="3"/>
  <c r="AF141" i="15" s="1"/>
  <c r="AG141" i="15" s="1"/>
  <c r="BG69" i="3"/>
  <c r="AY69" i="3"/>
  <c r="Y141" i="15" s="1"/>
  <c r="Z141" i="15" s="1"/>
  <c r="AX69" i="3"/>
  <c r="V105" i="15" s="1"/>
  <c r="AW69" i="3"/>
  <c r="AO69" i="3"/>
  <c r="R141" i="15" s="1"/>
  <c r="S141" i="15" s="1"/>
  <c r="AN69" i="3"/>
  <c r="O105" i="15" s="1"/>
  <c r="AM69" i="3"/>
  <c r="AE69" i="3"/>
  <c r="K141" i="15" s="1"/>
  <c r="AD69" i="3"/>
  <c r="H105" i="15" s="1"/>
  <c r="AC69" i="3"/>
  <c r="U69" i="3"/>
  <c r="K69" i="3"/>
  <c r="BT68" i="3"/>
  <c r="BS68" i="3"/>
  <c r="BR68" i="3"/>
  <c r="BQ68" i="3"/>
  <c r="BP68" i="3"/>
  <c r="BO68" i="3"/>
  <c r="BN68" i="3"/>
  <c r="BH68" i="3"/>
  <c r="BG68" i="3"/>
  <c r="AX68" i="3"/>
  <c r="AW68" i="3"/>
  <c r="AN68" i="3"/>
  <c r="AM68" i="3"/>
  <c r="AA68" i="3"/>
  <c r="AO68" i="3" s="1"/>
  <c r="U68" i="3"/>
  <c r="V68" i="3"/>
  <c r="Z68" i="3" s="1"/>
  <c r="Y68" i="3" l="1"/>
  <c r="AS68" i="3"/>
  <c r="AI68" i="3"/>
  <c r="BC68" i="3"/>
  <c r="BU69" i="3"/>
  <c r="AI69" i="3"/>
  <c r="Y69" i="3"/>
  <c r="BC69" i="3"/>
  <c r="AS69" i="3"/>
  <c r="BO151" i="3"/>
  <c r="P79" i="15" s="1"/>
  <c r="Q79" i="15" s="1"/>
  <c r="AK151" i="3"/>
  <c r="AE10" i="3"/>
  <c r="K116" i="15" s="1"/>
  <c r="AO10" i="3"/>
  <c r="R116" i="15" s="1"/>
  <c r="S116" i="15" s="1"/>
  <c r="T116" i="15" s="1"/>
  <c r="AY10" i="3"/>
  <c r="BI10" i="3"/>
  <c r="V69" i="3"/>
  <c r="AZ69" i="3" s="1"/>
  <c r="Y105" i="15" s="1"/>
  <c r="Z105" i="15" s="1"/>
  <c r="BV131" i="3"/>
  <c r="BM131" i="3"/>
  <c r="I90" i="15" s="1"/>
  <c r="H90" i="15"/>
  <c r="AN151" i="3"/>
  <c r="BV151" i="3"/>
  <c r="BM151" i="3"/>
  <c r="I79" i="15" s="1"/>
  <c r="AA151" i="3"/>
  <c r="BT152" i="3"/>
  <c r="BL152" i="3"/>
  <c r="BP152" i="3"/>
  <c r="AW152" i="3"/>
  <c r="BL68" i="3"/>
  <c r="AC68" i="3"/>
  <c r="AE68" i="3"/>
  <c r="BJ68" i="3"/>
  <c r="AZ68" i="3"/>
  <c r="AF68" i="3"/>
  <c r="AP68" i="3"/>
  <c r="R104" i="15" s="1"/>
  <c r="S104" i="15" s="1"/>
  <c r="T104" i="15" s="1"/>
  <c r="BI68" i="3"/>
  <c r="AY68" i="3"/>
  <c r="BU68" i="3"/>
  <c r="AA41" i="3"/>
  <c r="BD69" i="3" l="1"/>
  <c r="O79" i="15"/>
  <c r="BN151" i="3"/>
  <c r="AM151" i="3"/>
  <c r="BJ69" i="3"/>
  <c r="AF105" i="15" s="1"/>
  <c r="AG105" i="15" s="1"/>
  <c r="AP69" i="3"/>
  <c r="R105" i="15" s="1"/>
  <c r="S105" i="15" s="1"/>
  <c r="AF69" i="3"/>
  <c r="K105" i="15" s="1"/>
  <c r="BL151" i="3"/>
  <c r="AE151" i="3"/>
  <c r="AC151" i="3"/>
  <c r="AY151" i="3"/>
  <c r="AO151" i="3"/>
  <c r="BI151" i="3"/>
  <c r="BS69" i="3"/>
  <c r="AD105" i="15" s="1"/>
  <c r="AE105" i="15" s="1"/>
  <c r="BH69" i="3"/>
  <c r="AC105" i="15" s="1"/>
  <c r="BV68" i="3"/>
  <c r="BM68" i="3"/>
  <c r="AD68" i="3"/>
  <c r="AE78" i="3"/>
  <c r="K186" i="15" s="1"/>
  <c r="V74" i="3" l="1"/>
  <c r="V67" i="3"/>
  <c r="K113" i="3" l="1"/>
  <c r="Z113" i="3" s="1"/>
  <c r="K109" i="3" l="1"/>
  <c r="K108" i="3"/>
  <c r="K102" i="3" l="1"/>
  <c r="Z102" i="3" s="1"/>
  <c r="K103" i="3"/>
  <c r="Z103" i="3" s="1"/>
  <c r="AA103" i="3" s="1"/>
  <c r="K92" i="3"/>
  <c r="Z92" i="3" l="1"/>
  <c r="K170" i="3"/>
  <c r="K171" i="3" s="1"/>
  <c r="F23" i="26" s="1"/>
  <c r="V94" i="3"/>
  <c r="BV155" i="3"/>
  <c r="BT155" i="3"/>
  <c r="BS155" i="3"/>
  <c r="AD24" i="15" s="1"/>
  <c r="BR155" i="3"/>
  <c r="BQ155" i="3"/>
  <c r="W24" i="15" s="1"/>
  <c r="BP155" i="3"/>
  <c r="BO155" i="3"/>
  <c r="P24" i="15" s="1"/>
  <c r="Q24" i="15" s="1"/>
  <c r="BN155" i="3"/>
  <c r="BM155" i="3"/>
  <c r="I24" i="15" s="1"/>
  <c r="BH155" i="3"/>
  <c r="AC24" i="15" s="1"/>
  <c r="BG155" i="3"/>
  <c r="AX155" i="3"/>
  <c r="V24" i="15" s="1"/>
  <c r="AW155" i="3"/>
  <c r="AN155" i="3"/>
  <c r="O24" i="15" s="1"/>
  <c r="AM155" i="3"/>
  <c r="AD155" i="3"/>
  <c r="AA155" i="3"/>
  <c r="U155" i="3"/>
  <c r="AI155" i="3" l="1"/>
  <c r="AS155" i="3"/>
  <c r="Y155" i="3"/>
  <c r="BC155" i="3"/>
  <c r="BD94" i="3"/>
  <c r="AJ94" i="3"/>
  <c r="AT94" i="3"/>
  <c r="Z94" i="3"/>
  <c r="AE155" i="3"/>
  <c r="H24" i="15"/>
  <c r="F28" i="26"/>
  <c r="F29" i="26" s="1"/>
  <c r="F24" i="26"/>
  <c r="V155" i="3"/>
  <c r="AF155" i="3" s="1"/>
  <c r="K24" i="15" s="1"/>
  <c r="BU155" i="3"/>
  <c r="AO155" i="3"/>
  <c r="BI155" i="3"/>
  <c r="BL155" i="3"/>
  <c r="AY155" i="3"/>
  <c r="AC155" i="3"/>
  <c r="BJ155" i="3" l="1"/>
  <c r="AF24" i="15" s="1"/>
  <c r="AG24" i="15" s="1"/>
  <c r="AZ155" i="3"/>
  <c r="Y24" i="15" s="1"/>
  <c r="Z24" i="15" s="1"/>
  <c r="AA24" i="15" s="1"/>
  <c r="AP155" i="3"/>
  <c r="R24" i="15" s="1"/>
  <c r="S24" i="15" s="1"/>
  <c r="T24" i="15" s="1"/>
  <c r="AB99" i="3"/>
  <c r="V52" i="3" l="1"/>
  <c r="AP52" i="3" l="1"/>
  <c r="AQ52" i="3"/>
  <c r="AF52" i="3"/>
  <c r="H82" i="15"/>
  <c r="H84" i="15"/>
  <c r="H83" i="15"/>
  <c r="H19" i="15"/>
  <c r="H17" i="15"/>
  <c r="AA28" i="3"/>
  <c r="AD28" i="3"/>
  <c r="AC149" i="3" l="1"/>
  <c r="BH146" i="3"/>
  <c r="AN146" i="3"/>
  <c r="AM146" i="3"/>
  <c r="AF146" i="3"/>
  <c r="AD146" i="3"/>
  <c r="BM107" i="3"/>
  <c r="AA20" i="3"/>
  <c r="BR11" i="3"/>
  <c r="BR10" i="3"/>
  <c r="BP11" i="3"/>
  <c r="BP10" i="3"/>
  <c r="BN11" i="3"/>
  <c r="BN10" i="3"/>
  <c r="BL11" i="3"/>
  <c r="BL10" i="3"/>
  <c r="AA9" i="3"/>
  <c r="AC10" i="3"/>
  <c r="AA13" i="3"/>
  <c r="AE9" i="3" l="1"/>
  <c r="AC9" i="3"/>
  <c r="AA125" i="3"/>
  <c r="AF54" i="3" l="1"/>
  <c r="AE58" i="3"/>
  <c r="AO58" i="3"/>
  <c r="H124" i="15"/>
  <c r="BS52" i="3"/>
  <c r="AD100" i="15" s="1"/>
  <c r="AE100" i="15" s="1"/>
  <c r="BQ52" i="3"/>
  <c r="W100" i="15" s="1"/>
  <c r="X100" i="15" s="1"/>
  <c r="BO52" i="3"/>
  <c r="P100" i="15" s="1"/>
  <c r="Q100" i="15" s="1"/>
  <c r="BM52" i="3"/>
  <c r="I100" i="15" s="1"/>
  <c r="BH52" i="3"/>
  <c r="AC100" i="15" s="1"/>
  <c r="AX52" i="3"/>
  <c r="V100" i="15" s="1"/>
  <c r="AX51" i="3"/>
  <c r="O100" i="15"/>
  <c r="BS54" i="3"/>
  <c r="BQ54" i="3"/>
  <c r="BO54" i="3"/>
  <c r="BJ54" i="3"/>
  <c r="BH54" i="3"/>
  <c r="AZ54" i="3"/>
  <c r="AX54" i="3"/>
  <c r="AP54" i="3"/>
  <c r="AN54" i="3"/>
  <c r="BM54" i="3"/>
  <c r="AD54" i="3"/>
  <c r="AD55" i="3"/>
  <c r="AC63" i="3"/>
  <c r="AC47" i="3"/>
  <c r="AB42" i="3" l="1"/>
  <c r="AA154" i="3"/>
  <c r="AA135" i="3"/>
  <c r="AA134" i="3"/>
  <c r="AA133" i="3"/>
  <c r="AA132" i="3"/>
  <c r="AA130" i="3"/>
  <c r="AA129" i="3"/>
  <c r="AA128" i="3"/>
  <c r="AA127" i="3"/>
  <c r="AA126" i="3"/>
  <c r="AA40" i="3" l="1"/>
  <c r="AB142" i="3" l="1"/>
  <c r="AA142" i="3" s="1"/>
  <c r="AC141" i="3" l="1"/>
  <c r="BV54" i="3" l="1"/>
  <c r="H100" i="15"/>
  <c r="AA57" i="3"/>
  <c r="AA56" i="3"/>
  <c r="AA54" i="3"/>
  <c r="AA53" i="3"/>
  <c r="AA52" i="3"/>
  <c r="AA39" i="3" l="1"/>
  <c r="AA37" i="3"/>
  <c r="AA113" i="3" l="1"/>
  <c r="AA110" i="3" l="1"/>
  <c r="H30" i="15"/>
  <c r="AA146" i="3" l="1"/>
  <c r="AC146" i="3" s="1"/>
  <c r="AA98" i="3" l="1"/>
  <c r="AA16" i="3" l="1"/>
  <c r="H39" i="15" s="1"/>
  <c r="Z36" i="3"/>
  <c r="Z15" i="3"/>
  <c r="AA15" i="3" s="1"/>
  <c r="H38" i="15" s="1"/>
  <c r="AF32" i="3"/>
  <c r="AA35" i="3"/>
  <c r="AA34" i="3"/>
  <c r="AA33" i="3"/>
  <c r="AA32" i="3"/>
  <c r="AA31" i="3"/>
  <c r="AA30" i="3"/>
  <c r="AA29" i="3"/>
  <c r="AA27" i="3"/>
  <c r="AA26" i="3"/>
  <c r="AA25" i="3"/>
  <c r="AA24" i="3"/>
  <c r="AA23" i="3"/>
  <c r="AA22" i="3"/>
  <c r="AA21" i="3"/>
  <c r="AA19" i="3"/>
  <c r="AA18" i="3"/>
  <c r="H41" i="15" s="1"/>
  <c r="AA17" i="3"/>
  <c r="H40" i="15" s="1"/>
  <c r="AA74" i="3" l="1"/>
  <c r="AA73" i="3"/>
  <c r="AA71" i="3"/>
  <c r="AX105" i="3" l="1"/>
  <c r="AA62" i="3"/>
  <c r="AA61" i="3"/>
  <c r="AA60" i="3"/>
  <c r="AA59" i="3"/>
  <c r="AD105" i="3"/>
  <c r="AB112" i="3" l="1"/>
  <c r="AA112" i="3"/>
  <c r="AA111" i="3"/>
  <c r="AA100" i="3" l="1"/>
  <c r="BT101" i="3" l="1"/>
  <c r="BT149" i="3" l="1"/>
  <c r="BB149" i="3"/>
  <c r="AR149" i="3"/>
  <c r="AH149" i="3"/>
  <c r="T149" i="3"/>
  <c r="L149" i="3"/>
  <c r="L147" i="3"/>
  <c r="T147" i="3" s="1"/>
  <c r="AO149" i="3" l="1"/>
  <c r="AY149" i="3"/>
  <c r="AE149" i="3"/>
  <c r="BI149" i="3"/>
  <c r="AM149" i="3"/>
  <c r="BP149" i="3"/>
  <c r="AW149" i="3"/>
  <c r="BT147" i="3"/>
  <c r="AO147" i="3"/>
  <c r="BI147" i="3"/>
  <c r="AE147" i="3"/>
  <c r="AY147" i="3"/>
  <c r="BR149" i="3"/>
  <c r="BG149" i="3"/>
  <c r="BB147" i="3"/>
  <c r="BR147" i="3" s="1"/>
  <c r="AH147" i="3"/>
  <c r="BG147" i="3" l="1"/>
  <c r="AR147" i="3"/>
  <c r="BP147" i="3" s="1"/>
  <c r="AM147" i="3"/>
  <c r="U117" i="3"/>
  <c r="AS117" i="3" l="1"/>
  <c r="Y117" i="3"/>
  <c r="BC117" i="3"/>
  <c r="AI117" i="3"/>
  <c r="AW147" i="3"/>
  <c r="AC82"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W131" i="22"/>
  <c r="AV131" i="22"/>
  <c r="AU131" i="22"/>
  <c r="AN131" i="22"/>
  <c r="AM131" i="22"/>
  <c r="AL131" i="22"/>
  <c r="AE131" i="22"/>
  <c r="AD131" i="22"/>
  <c r="AC131" i="22"/>
  <c r="V131" i="22"/>
  <c r="BG131" i="22" s="1"/>
  <c r="U131" i="22"/>
  <c r="BS131" i="22" s="1"/>
  <c r="BR130" i="22"/>
  <c r="BO130" i="22"/>
  <c r="BN130" i="22"/>
  <c r="BM130" i="22"/>
  <c r="BL130" i="22"/>
  <c r="BK130" i="22"/>
  <c r="BJ130" i="22"/>
  <c r="BH130" i="22"/>
  <c r="BF130" i="22"/>
  <c r="BE130" i="22"/>
  <c r="BD130" i="22"/>
  <c r="AW130" i="22"/>
  <c r="AV130" i="22"/>
  <c r="AU130" i="22"/>
  <c r="AN130" i="22"/>
  <c r="AM130" i="22"/>
  <c r="AL130" i="22"/>
  <c r="AF130" i="22"/>
  <c r="AE130" i="22"/>
  <c r="AC130" i="22"/>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X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F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F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X84" i="22"/>
  <c r="AW84" i="22"/>
  <c r="AV84" i="22"/>
  <c r="AU84" i="22"/>
  <c r="AN84" i="22"/>
  <c r="AM84" i="22"/>
  <c r="AL84" i="22"/>
  <c r="AF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O73" i="22"/>
  <c r="AN73" i="22"/>
  <c r="AM73" i="22"/>
  <c r="AL73" i="22"/>
  <c r="AE73" i="22"/>
  <c r="AC73" i="22"/>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Z67" i="22"/>
  <c r="BT67" i="22" s="1"/>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G52" i="22"/>
  <c r="BF52" i="22"/>
  <c r="BE52" i="22"/>
  <c r="BD52" i="22"/>
  <c r="AW52" i="22"/>
  <c r="AV52" i="22"/>
  <c r="AU52" i="22"/>
  <c r="AO52" i="22"/>
  <c r="AN52" i="22"/>
  <c r="AM52" i="22"/>
  <c r="AL52" i="22"/>
  <c r="AE52" i="22"/>
  <c r="AD52" i="22"/>
  <c r="AC52" i="22"/>
  <c r="V52" i="22"/>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X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X55" i="22" l="1"/>
  <c r="AX64" i="22"/>
  <c r="Z130" i="22"/>
  <c r="AX37" i="22"/>
  <c r="AF97" i="22"/>
  <c r="Z73" i="22"/>
  <c r="BT73" i="22" s="1"/>
  <c r="AX130" i="22"/>
  <c r="AX131" i="22"/>
  <c r="Z133" i="22"/>
  <c r="BT133" i="22" s="1"/>
  <c r="AF33" i="22"/>
  <c r="AX48" i="22"/>
  <c r="AX102" i="22"/>
  <c r="AX63" i="22"/>
  <c r="BI67" i="22"/>
  <c r="AF100" i="22"/>
  <c r="AX50"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T98" i="22" s="1"/>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BI73"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AM82" i="22" l="1"/>
  <c r="AD98" i="22"/>
  <c r="BI98" i="22"/>
  <c r="BT130" i="22"/>
  <c r="AD130" i="22"/>
  <c r="BI130" i="22"/>
  <c r="BI68" i="22"/>
  <c r="AD68" i="22"/>
  <c r="AD73" i="22"/>
  <c r="AD92" i="22"/>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16" i="15"/>
  <c r="I173" i="15"/>
  <c r="U148" i="3"/>
  <c r="BT11" i="3"/>
  <c r="BT1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70" i="3"/>
  <c r="BT71" i="3"/>
  <c r="BT72" i="3"/>
  <c r="BT73" i="3"/>
  <c r="BT74" i="3"/>
  <c r="BT75" i="3"/>
  <c r="BT76" i="3"/>
  <c r="BT77" i="3"/>
  <c r="BT78" i="3"/>
  <c r="BT79" i="3"/>
  <c r="BT89" i="3"/>
  <c r="BT90" i="3"/>
  <c r="BT91" i="3"/>
  <c r="BT92" i="3"/>
  <c r="BT93" i="3"/>
  <c r="BT94" i="3"/>
  <c r="BT95" i="3"/>
  <c r="BT96" i="3"/>
  <c r="BT97" i="3"/>
  <c r="BT98" i="3"/>
  <c r="BT99" i="3"/>
  <c r="BT100"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2" i="3"/>
  <c r="BT133" i="3"/>
  <c r="BT134" i="3"/>
  <c r="BT135" i="3"/>
  <c r="BT136" i="3"/>
  <c r="BT137" i="3"/>
  <c r="BT138" i="3"/>
  <c r="BT139" i="3"/>
  <c r="BT140" i="3"/>
  <c r="BT141" i="3"/>
  <c r="BT142" i="3"/>
  <c r="BT143" i="3"/>
  <c r="BT144" i="3"/>
  <c r="BT145" i="3"/>
  <c r="BT146" i="3"/>
  <c r="BT148" i="3"/>
  <c r="BT150" i="3"/>
  <c r="BT153" i="3"/>
  <c r="BT154" i="3"/>
  <c r="BT10" i="3"/>
  <c r="BT9" i="3"/>
  <c r="BV9" i="3"/>
  <c r="BV10" i="3"/>
  <c r="BV11" i="3"/>
  <c r="BV12" i="3"/>
  <c r="BV13" i="3"/>
  <c r="BV14" i="3"/>
  <c r="BV15" i="3"/>
  <c r="BV16" i="3"/>
  <c r="BV17" i="3"/>
  <c r="BV18" i="3"/>
  <c r="BV19" i="3"/>
  <c r="BV20" i="3"/>
  <c r="BV21" i="3"/>
  <c r="BV22" i="3"/>
  <c r="BV23" i="3"/>
  <c r="BV24" i="3"/>
  <c r="BV25" i="3"/>
  <c r="BV26" i="3"/>
  <c r="BV27" i="3"/>
  <c r="BV28" i="3"/>
  <c r="BV29" i="3"/>
  <c r="BV30" i="3"/>
  <c r="BV31" i="3"/>
  <c r="BV32" i="3"/>
  <c r="BV33" i="3"/>
  <c r="BV34" i="3"/>
  <c r="BV35" i="3"/>
  <c r="BV36" i="3"/>
  <c r="BV37" i="3"/>
  <c r="BV38" i="3"/>
  <c r="BV39" i="3"/>
  <c r="BV40" i="3"/>
  <c r="BV41" i="3"/>
  <c r="BV42" i="3"/>
  <c r="BV43" i="3"/>
  <c r="BV45" i="3"/>
  <c r="BV46" i="3"/>
  <c r="BV47" i="3"/>
  <c r="BV48" i="3"/>
  <c r="BV49" i="3"/>
  <c r="BV50" i="3"/>
  <c r="BV51" i="3"/>
  <c r="BV53" i="3"/>
  <c r="BV52" i="3"/>
  <c r="BV55" i="3"/>
  <c r="BV56" i="3"/>
  <c r="BV57" i="3"/>
  <c r="BV58" i="3"/>
  <c r="BV59" i="3"/>
  <c r="BV60" i="3"/>
  <c r="BV61" i="3"/>
  <c r="BV62" i="3"/>
  <c r="BV63" i="3"/>
  <c r="BV64" i="3"/>
  <c r="BV65" i="3"/>
  <c r="BV66" i="3"/>
  <c r="BV70" i="3"/>
  <c r="BV71" i="3"/>
  <c r="BV72" i="3"/>
  <c r="BV75" i="3"/>
  <c r="BV76" i="3"/>
  <c r="BV77" i="3"/>
  <c r="BV78" i="3"/>
  <c r="BV79" i="3"/>
  <c r="BV89" i="3"/>
  <c r="BV90" i="3"/>
  <c r="BV91" i="3"/>
  <c r="BV92" i="3"/>
  <c r="BV95" i="3"/>
  <c r="BV96" i="3"/>
  <c r="BV97" i="3"/>
  <c r="BV98" i="3"/>
  <c r="BV100" i="3"/>
  <c r="BV101" i="3"/>
  <c r="BV102" i="3"/>
  <c r="BV103" i="3"/>
  <c r="BV104" i="3"/>
  <c r="BV105" i="3"/>
  <c r="BV106" i="3"/>
  <c r="BV107" i="3"/>
  <c r="BV110" i="3"/>
  <c r="BV112" i="3"/>
  <c r="BV113" i="3"/>
  <c r="BV114" i="3"/>
  <c r="BV115" i="3"/>
  <c r="BV116" i="3"/>
  <c r="BV117" i="3"/>
  <c r="BV118" i="3"/>
  <c r="BV119" i="3"/>
  <c r="BV120" i="3"/>
  <c r="BV121" i="3"/>
  <c r="BV122" i="3"/>
  <c r="BV123" i="3"/>
  <c r="BV124" i="3"/>
  <c r="BV127" i="3"/>
  <c r="BV128" i="3"/>
  <c r="BV129" i="3"/>
  <c r="BV130" i="3"/>
  <c r="BV133" i="3"/>
  <c r="BV134" i="3"/>
  <c r="BV136" i="3"/>
  <c r="BV137" i="3"/>
  <c r="BV138" i="3"/>
  <c r="BV139" i="3"/>
  <c r="BV140" i="3"/>
  <c r="BV141" i="3"/>
  <c r="BV142" i="3"/>
  <c r="BV143" i="3"/>
  <c r="BV144" i="3"/>
  <c r="BV145" i="3"/>
  <c r="BV146" i="3"/>
  <c r="BV147" i="3"/>
  <c r="BV148" i="3"/>
  <c r="BV149" i="3"/>
  <c r="BT8" i="3"/>
  <c r="BV8" i="3"/>
  <c r="AO146" i="3"/>
  <c r="AE146" i="3"/>
  <c r="BU148" i="3" l="1"/>
  <c r="AS148" i="3"/>
  <c r="BC148" i="3"/>
  <c r="AI148" i="3"/>
  <c r="Y148" i="3"/>
  <c r="AM9" i="3"/>
  <c r="H121" i="15"/>
  <c r="AD173" i="15" l="1"/>
  <c r="AE173" i="15" s="1"/>
  <c r="AC173" i="15"/>
  <c r="W173" i="15"/>
  <c r="X173" i="15" s="1"/>
  <c r="V173" i="15"/>
  <c r="P173" i="15"/>
  <c r="Q173" i="15" s="1"/>
  <c r="O173" i="15"/>
  <c r="H173" i="15"/>
  <c r="F173" i="15"/>
  <c r="E173" i="15"/>
  <c r="BI89" i="3"/>
  <c r="AF173" i="15" s="1"/>
  <c r="AG173" i="15" s="1"/>
  <c r="BH89" i="3"/>
  <c r="BG89" i="3"/>
  <c r="AY89" i="3"/>
  <c r="Y173" i="15" s="1"/>
  <c r="Z173" i="15" s="1"/>
  <c r="AA173" i="15" s="1"/>
  <c r="AX89" i="3"/>
  <c r="AW89" i="3"/>
  <c r="AO89" i="3"/>
  <c r="R173" i="15" s="1"/>
  <c r="S173" i="15" s="1"/>
  <c r="T173" i="15" s="1"/>
  <c r="AN89" i="3"/>
  <c r="AM89" i="3"/>
  <c r="AE89" i="3"/>
  <c r="K173" i="15" s="1"/>
  <c r="AD89" i="3"/>
  <c r="AC89" i="3"/>
  <c r="V89" i="3"/>
  <c r="BJ89" i="3" s="1"/>
  <c r="U89" i="3"/>
  <c r="AF116" i="15"/>
  <c r="AG116" i="15" s="1"/>
  <c r="AD116" i="15"/>
  <c r="AE116" i="15" s="1"/>
  <c r="AC116" i="15"/>
  <c r="Y116" i="15"/>
  <c r="Z116" i="15" s="1"/>
  <c r="AA116" i="15" s="1"/>
  <c r="W116" i="15"/>
  <c r="X116" i="15" s="1"/>
  <c r="V116" i="15"/>
  <c r="P116" i="15"/>
  <c r="Q116" i="15" s="1"/>
  <c r="O116" i="15"/>
  <c r="H116" i="15"/>
  <c r="AC115" i="15"/>
  <c r="V115" i="15"/>
  <c r="O115" i="15"/>
  <c r="H115" i="15"/>
  <c r="F116" i="15"/>
  <c r="F115" i="15"/>
  <c r="D115" i="15"/>
  <c r="U82" i="4"/>
  <c r="U83" i="4" s="1"/>
  <c r="AC166" i="15"/>
  <c r="V166" i="15"/>
  <c r="O166" i="15"/>
  <c r="H166" i="15"/>
  <c r="AC165" i="15"/>
  <c r="V165" i="15"/>
  <c r="O165" i="15"/>
  <c r="H165" i="15"/>
  <c r="F166" i="15"/>
  <c r="F165" i="15"/>
  <c r="AC163" i="15"/>
  <c r="V163" i="15"/>
  <c r="O163" i="15"/>
  <c r="H163" i="15"/>
  <c r="F163" i="15"/>
  <c r="D163" i="15"/>
  <c r="D216" i="15"/>
  <c r="AF84" i="15"/>
  <c r="AG84" i="15" s="1"/>
  <c r="AC84" i="15"/>
  <c r="Y84" i="15"/>
  <c r="Z84" i="15" s="1"/>
  <c r="AA84" i="15" s="1"/>
  <c r="V84" i="15"/>
  <c r="R84" i="15"/>
  <c r="S84" i="15" s="1"/>
  <c r="O84" i="15"/>
  <c r="K84" i="15"/>
  <c r="BU89" i="3" l="1"/>
  <c r="AS89" i="3"/>
  <c r="AI89" i="3"/>
  <c r="BC89" i="3"/>
  <c r="Y89" i="3"/>
  <c r="AF89" i="3"/>
  <c r="AZ89" i="3"/>
  <c r="AP89" i="3"/>
  <c r="AF83" i="15" l="1"/>
  <c r="AG83" i="15" s="1"/>
  <c r="AC83" i="15"/>
  <c r="Y83" i="15"/>
  <c r="Z83" i="15" s="1"/>
  <c r="AA83" i="15" s="1"/>
  <c r="V83" i="15"/>
  <c r="R83" i="15"/>
  <c r="S83" i="15" s="1"/>
  <c r="O83" i="15"/>
  <c r="V82" i="15"/>
  <c r="O82" i="15"/>
  <c r="F84" i="15"/>
  <c r="F83" i="15"/>
  <c r="F82" i="15"/>
  <c r="BS138" i="3"/>
  <c r="BQ138" i="3"/>
  <c r="BR138" i="3"/>
  <c r="AD82" i="15" s="1"/>
  <c r="BO138" i="3"/>
  <c r="BL138" i="3"/>
  <c r="I82" i="15" s="1"/>
  <c r="BM138" i="3"/>
  <c r="BI138" i="3"/>
  <c r="AF82" i="15" s="1"/>
  <c r="AG82" i="15" s="1"/>
  <c r="BH138" i="3"/>
  <c r="BG138" i="3"/>
  <c r="AX138" i="3"/>
  <c r="AY138" i="3"/>
  <c r="Y82" i="15" s="1"/>
  <c r="Z82" i="15" s="1"/>
  <c r="AA82" i="15" s="1"/>
  <c r="AW138" i="3"/>
  <c r="BP138" i="3"/>
  <c r="W82" i="15" s="1"/>
  <c r="AN138" i="3"/>
  <c r="AD138" i="3"/>
  <c r="AE138" i="3"/>
  <c r="K82" i="15" s="1"/>
  <c r="AD137" i="3"/>
  <c r="BN138" i="3"/>
  <c r="P82" i="15" s="1"/>
  <c r="Q82" i="15" s="1"/>
  <c r="AC138" i="3"/>
  <c r="V138" i="3"/>
  <c r="AP138" i="3" s="1"/>
  <c r="U138" i="3"/>
  <c r="AI138" i="3" l="1"/>
  <c r="BC138" i="3"/>
  <c r="AS138" i="3"/>
  <c r="Y138" i="3"/>
  <c r="BU138" i="3"/>
  <c r="BJ138" i="3"/>
  <c r="AZ138" i="3"/>
  <c r="AF138" i="3"/>
  <c r="D30" i="15" l="1"/>
  <c r="D96" i="15"/>
  <c r="D95" i="15"/>
  <c r="D94" i="15"/>
  <c r="D93" i="15"/>
  <c r="D92" i="15"/>
  <c r="D91" i="15"/>
  <c r="D89" i="15"/>
  <c r="D88" i="15"/>
  <c r="D87" i="15"/>
  <c r="D86" i="15"/>
  <c r="D85" i="15"/>
  <c r="D97" i="15"/>
  <c r="D104" i="15"/>
  <c r="D102" i="15"/>
  <c r="D101" i="15"/>
  <c r="E99" i="15"/>
  <c r="D99" i="15"/>
  <c r="D76" i="15"/>
  <c r="D75" i="15"/>
  <c r="D64" i="15"/>
  <c r="D62" i="15"/>
  <c r="D61" i="15"/>
  <c r="D60" i="15"/>
  <c r="D59" i="15"/>
  <c r="D31" i="15"/>
  <c r="D29" i="15"/>
  <c r="D28" i="15"/>
  <c r="D27" i="15"/>
  <c r="D26" i="15"/>
  <c r="D25" i="15"/>
  <c r="D23" i="15"/>
  <c r="AD9" i="3"/>
  <c r="H35" i="15" s="1"/>
  <c r="AC224" i="15" l="1"/>
  <c r="AC225" i="15" s="1"/>
  <c r="AC226" i="15" s="1"/>
  <c r="AC227" i="15" s="1"/>
  <c r="V224" i="15"/>
  <c r="V225" i="15" s="1"/>
  <c r="V226" i="15" s="1"/>
  <c r="V227" i="15" s="1"/>
  <c r="O224" i="15"/>
  <c r="O225" i="15" s="1"/>
  <c r="O226" i="15" s="1"/>
  <c r="O227" i="15" s="1"/>
  <c r="H224" i="15"/>
  <c r="H225" i="15" s="1"/>
  <c r="H226" i="15" s="1"/>
  <c r="H227" i="15" s="1"/>
  <c r="AC19" i="15"/>
  <c r="V19" i="15"/>
  <c r="O19" i="15"/>
  <c r="F19" i="15"/>
  <c r="D19" i="15"/>
  <c r="AC222" i="15"/>
  <c r="V222" i="15"/>
  <c r="O222" i="15"/>
  <c r="H222" i="15"/>
  <c r="AC221" i="15"/>
  <c r="V221" i="15"/>
  <c r="O221" i="15"/>
  <c r="H221" i="15"/>
  <c r="AC220" i="15"/>
  <c r="V220" i="15"/>
  <c r="O220" i="15"/>
  <c r="H220" i="15"/>
  <c r="F222" i="15"/>
  <c r="E222" i="15"/>
  <c r="D222" i="15"/>
  <c r="F221" i="15"/>
  <c r="D221" i="15"/>
  <c r="F220" i="15"/>
  <c r="E220" i="15"/>
  <c r="D220" i="15"/>
  <c r="AC217" i="15"/>
  <c r="V217" i="15"/>
  <c r="O217" i="15"/>
  <c r="H217" i="15"/>
  <c r="AC164" i="15"/>
  <c r="V164" i="15"/>
  <c r="O164" i="15"/>
  <c r="H164" i="15"/>
  <c r="AC215" i="15"/>
  <c r="V215" i="15"/>
  <c r="O215" i="15"/>
  <c r="H215" i="15"/>
  <c r="AC213" i="15"/>
  <c r="V213" i="15"/>
  <c r="O213" i="15"/>
  <c r="H213" i="15"/>
  <c r="AC212" i="15"/>
  <c r="V212" i="15"/>
  <c r="O212" i="15"/>
  <c r="H212" i="15"/>
  <c r="AC211" i="15"/>
  <c r="V211" i="15"/>
  <c r="O211" i="15"/>
  <c r="H211" i="15"/>
  <c r="F217" i="15"/>
  <c r="D217" i="15"/>
  <c r="F164" i="15"/>
  <c r="F215" i="15"/>
  <c r="D215" i="15"/>
  <c r="F213" i="15"/>
  <c r="F212" i="15"/>
  <c r="E212" i="15"/>
  <c r="D212" i="15"/>
  <c r="F211" i="15"/>
  <c r="E211" i="15"/>
  <c r="D211" i="15"/>
  <c r="AC209" i="15"/>
  <c r="V209" i="15"/>
  <c r="O209" i="15"/>
  <c r="H209" i="15"/>
  <c r="AC208" i="15"/>
  <c r="V208" i="15"/>
  <c r="O208" i="15"/>
  <c r="AC207" i="15"/>
  <c r="V207" i="15"/>
  <c r="O207" i="15"/>
  <c r="H207" i="15"/>
  <c r="F209" i="15"/>
  <c r="D209" i="15"/>
  <c r="F208" i="15"/>
  <c r="D208" i="15"/>
  <c r="F207" i="15"/>
  <c r="E207" i="15"/>
  <c r="D207" i="15"/>
  <c r="AC205" i="15"/>
  <c r="V205" i="15"/>
  <c r="O205" i="15"/>
  <c r="H205" i="15"/>
  <c r="F205" i="15"/>
  <c r="E205" i="15"/>
  <c r="D205" i="15"/>
  <c r="AC204" i="15"/>
  <c r="V204" i="15"/>
  <c r="O204" i="15"/>
  <c r="H204" i="15"/>
  <c r="F204" i="15"/>
  <c r="E204" i="15"/>
  <c r="D204" i="15"/>
  <c r="AC202" i="15"/>
  <c r="V202" i="15"/>
  <c r="O202" i="15"/>
  <c r="H202" i="15"/>
  <c r="AC191" i="15"/>
  <c r="V191" i="15"/>
  <c r="O191" i="15"/>
  <c r="H191" i="15"/>
  <c r="AC201" i="15"/>
  <c r="V201" i="15"/>
  <c r="O201" i="15"/>
  <c r="H201" i="15"/>
  <c r="AC200" i="15"/>
  <c r="V200" i="15"/>
  <c r="O200" i="15"/>
  <c r="H200" i="15"/>
  <c r="AC199" i="15"/>
  <c r="V199" i="15"/>
  <c r="O199" i="15"/>
  <c r="H199" i="15"/>
  <c r="AC198" i="15"/>
  <c r="V198" i="15"/>
  <c r="O198" i="15"/>
  <c r="H198" i="15"/>
  <c r="AC197" i="15"/>
  <c r="V197" i="15"/>
  <c r="O197" i="15"/>
  <c r="H197" i="15"/>
  <c r="AC196" i="15"/>
  <c r="V196" i="15"/>
  <c r="O196" i="15"/>
  <c r="H196" i="15"/>
  <c r="AC195" i="15"/>
  <c r="V195" i="15"/>
  <c r="O195" i="15"/>
  <c r="H195" i="15"/>
  <c r="AC192" i="15"/>
  <c r="V192" i="15"/>
  <c r="O192" i="15"/>
  <c r="H192" i="15"/>
  <c r="AC190" i="15"/>
  <c r="V190" i="15"/>
  <c r="O190" i="15"/>
  <c r="H190" i="15"/>
  <c r="AC189" i="15"/>
  <c r="V189" i="15"/>
  <c r="O189" i="15"/>
  <c r="H189" i="15"/>
  <c r="AC188" i="15"/>
  <c r="V188" i="15"/>
  <c r="O188" i="15"/>
  <c r="H188" i="15"/>
  <c r="AC187" i="15"/>
  <c r="V187" i="15"/>
  <c r="O187" i="15"/>
  <c r="H187" i="15"/>
  <c r="AC186" i="15"/>
  <c r="V186" i="15"/>
  <c r="O186" i="15"/>
  <c r="H186" i="15"/>
  <c r="AC185" i="15"/>
  <c r="V185" i="15"/>
  <c r="O185" i="15"/>
  <c r="H185" i="15"/>
  <c r="AC184" i="15"/>
  <c r="V184" i="15"/>
  <c r="O184" i="15"/>
  <c r="H184" i="15"/>
  <c r="AC183" i="15"/>
  <c r="V183" i="15"/>
  <c r="O183" i="15"/>
  <c r="H183" i="15"/>
  <c r="AC182" i="15"/>
  <c r="V182" i="15"/>
  <c r="O182" i="15"/>
  <c r="H182" i="15"/>
  <c r="AC181" i="15"/>
  <c r="V181" i="15"/>
  <c r="O181" i="15"/>
  <c r="H181" i="15"/>
  <c r="AC180" i="15"/>
  <c r="V180" i="15"/>
  <c r="O180" i="15"/>
  <c r="H180" i="15"/>
  <c r="AC179" i="15"/>
  <c r="V179" i="15"/>
  <c r="O179" i="15"/>
  <c r="H179" i="15"/>
  <c r="F202" i="15"/>
  <c r="F201" i="15"/>
  <c r="D202" i="15"/>
  <c r="E201" i="15"/>
  <c r="D201" i="15"/>
  <c r="F200" i="15"/>
  <c r="D200" i="15"/>
  <c r="F199" i="15"/>
  <c r="F198" i="15"/>
  <c r="D199" i="15"/>
  <c r="D198" i="15"/>
  <c r="F197" i="15"/>
  <c r="F196" i="15"/>
  <c r="D197" i="15"/>
  <c r="E196" i="15"/>
  <c r="D196" i="15"/>
  <c r="F195" i="15"/>
  <c r="D195" i="15"/>
  <c r="F192" i="15"/>
  <c r="D192" i="15"/>
  <c r="F191" i="15"/>
  <c r="D191" i="15"/>
  <c r="F190" i="15"/>
  <c r="D190" i="15"/>
  <c r="F189" i="15"/>
  <c r="D189" i="15"/>
  <c r="F188" i="15"/>
  <c r="F187" i="15"/>
  <c r="D188" i="15"/>
  <c r="E187" i="15"/>
  <c r="D187" i="15"/>
  <c r="F186" i="15"/>
  <c r="F185" i="15"/>
  <c r="E185" i="15"/>
  <c r="D186" i="15"/>
  <c r="D185" i="15"/>
  <c r="F184" i="15"/>
  <c r="F183" i="15"/>
  <c r="E183" i="15"/>
  <c r="D184" i="15"/>
  <c r="D183" i="15"/>
  <c r="F182" i="15"/>
  <c r="F181" i="15"/>
  <c r="E181" i="15"/>
  <c r="D182" i="15"/>
  <c r="D181" i="15"/>
  <c r="F180" i="15"/>
  <c r="D180" i="15"/>
  <c r="F179" i="15"/>
  <c r="E179" i="15"/>
  <c r="D179" i="15"/>
  <c r="AC176" i="15"/>
  <c r="V176" i="15"/>
  <c r="O176" i="15"/>
  <c r="H176" i="15"/>
  <c r="F176" i="15"/>
  <c r="F175" i="15"/>
  <c r="F174" i="15"/>
  <c r="F172" i="15"/>
  <c r="F171" i="15"/>
  <c r="F170" i="15"/>
  <c r="F169" i="15"/>
  <c r="AC175" i="15"/>
  <c r="V175" i="15"/>
  <c r="O175" i="15"/>
  <c r="H175" i="15"/>
  <c r="AC174" i="15"/>
  <c r="V174" i="15"/>
  <c r="O174" i="15"/>
  <c r="H174" i="15"/>
  <c r="AC172" i="15"/>
  <c r="V172" i="15"/>
  <c r="O172" i="15"/>
  <c r="H172" i="15"/>
  <c r="AC171" i="15"/>
  <c r="V171" i="15"/>
  <c r="O171" i="15"/>
  <c r="H171" i="15"/>
  <c r="AC170" i="15"/>
  <c r="V170" i="15"/>
  <c r="O170" i="15"/>
  <c r="H170" i="15"/>
  <c r="AC169" i="15"/>
  <c r="V169" i="15"/>
  <c r="O169" i="15"/>
  <c r="H169" i="15"/>
  <c r="AC168" i="15"/>
  <c r="V168" i="15"/>
  <c r="O168" i="15"/>
  <c r="H168" i="15"/>
  <c r="E176" i="15"/>
  <c r="E175" i="15"/>
  <c r="E174" i="15"/>
  <c r="E172" i="15"/>
  <c r="E171" i="15"/>
  <c r="E170" i="15"/>
  <c r="E169" i="15"/>
  <c r="F168" i="15"/>
  <c r="E168" i="15"/>
  <c r="D168" i="15"/>
  <c r="D82" i="15"/>
  <c r="AC216" i="15"/>
  <c r="V216" i="15"/>
  <c r="O216" i="15"/>
  <c r="H216" i="15"/>
  <c r="D84" i="15"/>
  <c r="D83" i="15"/>
  <c r="AC162" i="15"/>
  <c r="V162" i="15"/>
  <c r="O162" i="15"/>
  <c r="H162" i="15"/>
  <c r="AC161" i="15"/>
  <c r="V161" i="15"/>
  <c r="O161" i="15"/>
  <c r="H161" i="15"/>
  <c r="AC160" i="15"/>
  <c r="V160" i="15"/>
  <c r="O160" i="15"/>
  <c r="H160" i="15"/>
  <c r="AC159" i="15"/>
  <c r="V159" i="15"/>
  <c r="O159" i="15"/>
  <c r="H159" i="15"/>
  <c r="AC158" i="15"/>
  <c r="V158" i="15"/>
  <c r="O158" i="15"/>
  <c r="H158" i="15"/>
  <c r="AC157" i="15"/>
  <c r="V157" i="15"/>
  <c r="O157" i="15"/>
  <c r="H157" i="15"/>
  <c r="AC156" i="15"/>
  <c r="V156" i="15"/>
  <c r="O156" i="15"/>
  <c r="H156" i="15"/>
  <c r="F216" i="15"/>
  <c r="F162" i="15"/>
  <c r="F161" i="15"/>
  <c r="F160" i="15"/>
  <c r="F159" i="15"/>
  <c r="F158" i="15"/>
  <c r="F157" i="15"/>
  <c r="F156" i="15"/>
  <c r="E156" i="15"/>
  <c r="D162" i="15"/>
  <c r="D161" i="15"/>
  <c r="D160" i="15"/>
  <c r="D159" i="15"/>
  <c r="D158" i="15"/>
  <c r="D157" i="15"/>
  <c r="D156" i="15"/>
  <c r="AC154" i="15"/>
  <c r="V154" i="15"/>
  <c r="O154" i="15"/>
  <c r="H154" i="15"/>
  <c r="AC153" i="15"/>
  <c r="V153" i="15"/>
  <c r="O153" i="15"/>
  <c r="H153" i="15"/>
  <c r="AC152" i="15"/>
  <c r="V152" i="15"/>
  <c r="O152" i="15"/>
  <c r="H152" i="15"/>
  <c r="AC151" i="15"/>
  <c r="V151" i="15"/>
  <c r="O151" i="15"/>
  <c r="H151" i="15"/>
  <c r="AC150" i="15"/>
  <c r="V150" i="15"/>
  <c r="O150" i="15"/>
  <c r="H150" i="15"/>
  <c r="AC149" i="15"/>
  <c r="V149" i="15"/>
  <c r="O149" i="15"/>
  <c r="H149" i="15"/>
  <c r="AC148" i="15"/>
  <c r="V148" i="15"/>
  <c r="O148" i="15"/>
  <c r="H148" i="15"/>
  <c r="AC147" i="15"/>
  <c r="V147" i="15"/>
  <c r="O147" i="15"/>
  <c r="H147" i="15"/>
  <c r="F154" i="15"/>
  <c r="D154" i="15"/>
  <c r="F153" i="15"/>
  <c r="D153" i="15"/>
  <c r="F152" i="15"/>
  <c r="D152" i="15"/>
  <c r="F151" i="15"/>
  <c r="D151" i="15"/>
  <c r="F150" i="15"/>
  <c r="F149" i="15"/>
  <c r="F148" i="15"/>
  <c r="D148" i="15"/>
  <c r="F147" i="15"/>
  <c r="E147" i="15"/>
  <c r="D147" i="15"/>
  <c r="AC145" i="15"/>
  <c r="V145" i="15"/>
  <c r="O145" i="15"/>
  <c r="H145" i="15"/>
  <c r="AC144" i="15"/>
  <c r="V144" i="15"/>
  <c r="O144" i="15"/>
  <c r="H144" i="15"/>
  <c r="AC143" i="15"/>
  <c r="V143" i="15"/>
  <c r="O143" i="15"/>
  <c r="H143" i="15"/>
  <c r="AC142" i="15"/>
  <c r="V142" i="15"/>
  <c r="O142" i="15"/>
  <c r="H142" i="15"/>
  <c r="AC140" i="15"/>
  <c r="V140" i="15"/>
  <c r="O140" i="15"/>
  <c r="H140" i="15"/>
  <c r="AC139" i="15"/>
  <c r="V139" i="15"/>
  <c r="O139" i="15"/>
  <c r="H139" i="15"/>
  <c r="AC138" i="15"/>
  <c r="V138" i="15"/>
  <c r="O138" i="15"/>
  <c r="H138" i="15"/>
  <c r="AC137" i="15"/>
  <c r="V137" i="15"/>
  <c r="O137" i="15"/>
  <c r="H137" i="15"/>
  <c r="AC136" i="15"/>
  <c r="V136" i="15"/>
  <c r="O136" i="15"/>
  <c r="H136" i="15"/>
  <c r="AC135" i="15"/>
  <c r="V135" i="15"/>
  <c r="O135" i="15"/>
  <c r="H135" i="15"/>
  <c r="AC134" i="15"/>
  <c r="V134" i="15"/>
  <c r="O134" i="15"/>
  <c r="H134" i="15"/>
  <c r="AC133" i="15"/>
  <c r="V133" i="15"/>
  <c r="O133" i="15"/>
  <c r="H133" i="15"/>
  <c r="AC132" i="15"/>
  <c r="V132" i="15"/>
  <c r="O132" i="15"/>
  <c r="H132" i="15"/>
  <c r="AC131" i="15"/>
  <c r="V131" i="15"/>
  <c r="O131" i="15"/>
  <c r="H131" i="15"/>
  <c r="AC130" i="15"/>
  <c r="V130" i="15"/>
  <c r="O130" i="15"/>
  <c r="H130" i="15"/>
  <c r="AC129" i="15"/>
  <c r="V129" i="15"/>
  <c r="O129" i="15"/>
  <c r="H129" i="15"/>
  <c r="AC128" i="15"/>
  <c r="V128" i="15"/>
  <c r="O128" i="15"/>
  <c r="H128" i="15"/>
  <c r="AC127" i="15"/>
  <c r="V127" i="15"/>
  <c r="O127" i="15"/>
  <c r="H127" i="15"/>
  <c r="AC126" i="15"/>
  <c r="V126" i="15"/>
  <c r="O126" i="15"/>
  <c r="H126" i="15"/>
  <c r="AC125" i="15"/>
  <c r="V125" i="15"/>
  <c r="O125" i="15"/>
  <c r="H125" i="15"/>
  <c r="AC124" i="15"/>
  <c r="V124" i="15"/>
  <c r="O124" i="15"/>
  <c r="F145" i="15"/>
  <c r="F144" i="15"/>
  <c r="F143" i="15"/>
  <c r="F142" i="15"/>
  <c r="F140" i="15"/>
  <c r="F139" i="15"/>
  <c r="F138" i="15"/>
  <c r="F137" i="15"/>
  <c r="F136" i="15"/>
  <c r="F135" i="15"/>
  <c r="F134" i="15"/>
  <c r="F133" i="15"/>
  <c r="F132" i="15"/>
  <c r="F131" i="15"/>
  <c r="F130" i="15"/>
  <c r="F129" i="15"/>
  <c r="F128" i="15"/>
  <c r="F127" i="15"/>
  <c r="F126" i="15"/>
  <c r="D145" i="15"/>
  <c r="D144" i="15"/>
  <c r="D143" i="15"/>
  <c r="D142" i="15"/>
  <c r="E139" i="15"/>
  <c r="D140" i="15"/>
  <c r="D139" i="15"/>
  <c r="D138" i="15"/>
  <c r="D137" i="15"/>
  <c r="D136" i="15"/>
  <c r="D135" i="15"/>
  <c r="D134" i="15"/>
  <c r="D133" i="15"/>
  <c r="D132" i="15"/>
  <c r="D131" i="15"/>
  <c r="D130" i="15"/>
  <c r="D128" i="15"/>
  <c r="D127" i="15"/>
  <c r="D126" i="15"/>
  <c r="F125" i="15"/>
  <c r="D125" i="15"/>
  <c r="F124" i="15"/>
  <c r="E124" i="15"/>
  <c r="D124" i="15"/>
  <c r="AC18" i="15"/>
  <c r="V18" i="15"/>
  <c r="O18" i="15"/>
  <c r="D18" i="15"/>
  <c r="AC36" i="15"/>
  <c r="V36" i="15"/>
  <c r="O36" i="15"/>
  <c r="F36" i="15"/>
  <c r="E36" i="15"/>
  <c r="D36" i="15"/>
  <c r="AC122" i="15"/>
  <c r="V122" i="15"/>
  <c r="O122" i="15"/>
  <c r="H122" i="15"/>
  <c r="AC121" i="15"/>
  <c r="V121" i="15"/>
  <c r="O121" i="15"/>
  <c r="E121" i="15"/>
  <c r="AC117" i="15"/>
  <c r="V117" i="15"/>
  <c r="O117" i="15"/>
  <c r="H117" i="15"/>
  <c r="E117" i="15"/>
  <c r="AC22" i="15"/>
  <c r="V22" i="15"/>
  <c r="D22" i="15"/>
  <c r="AC114" i="15"/>
  <c r="V114" i="15"/>
  <c r="O114" i="15"/>
  <c r="H114" i="15"/>
  <c r="AC21" i="15"/>
  <c r="V21" i="15"/>
  <c r="AC20" i="15"/>
  <c r="V20" i="15"/>
  <c r="O20" i="15"/>
  <c r="F21" i="15"/>
  <c r="F20" i="15"/>
  <c r="D21" i="15"/>
  <c r="D20" i="15"/>
  <c r="AC112" i="15"/>
  <c r="V112" i="15"/>
  <c r="O112" i="15"/>
  <c r="H112" i="15"/>
  <c r="AC111" i="15"/>
  <c r="V111" i="15"/>
  <c r="O111" i="15"/>
  <c r="H111" i="15"/>
  <c r="F111" i="15"/>
  <c r="D111" i="15"/>
  <c r="AC110" i="15"/>
  <c r="V110" i="15"/>
  <c r="O110" i="15"/>
  <c r="H110" i="15"/>
  <c r="D122" i="15" l="1"/>
  <c r="F121" i="15"/>
  <c r="D121" i="15"/>
  <c r="F117" i="15"/>
  <c r="D117" i="15"/>
  <c r="F114" i="15"/>
  <c r="D114" i="15"/>
  <c r="F112" i="15"/>
  <c r="D112" i="15"/>
  <c r="F110" i="15"/>
  <c r="D110" i="15"/>
  <c r="F109" i="15"/>
  <c r="D109" i="15"/>
  <c r="AC109" i="15"/>
  <c r="V109" i="15"/>
  <c r="O109" i="15"/>
  <c r="H109" i="15"/>
  <c r="AC108" i="15"/>
  <c r="V108" i="15"/>
  <c r="O108" i="15"/>
  <c r="H108" i="15"/>
  <c r="F108" i="15"/>
  <c r="E108" i="15"/>
  <c r="D108" i="15"/>
  <c r="AC35" i="15"/>
  <c r="V35" i="15"/>
  <c r="E35" i="15"/>
  <c r="D35" i="15"/>
  <c r="AC81" i="15"/>
  <c r="V81" i="15"/>
  <c r="O81" i="15"/>
  <c r="AC78" i="15"/>
  <c r="V78" i="15"/>
  <c r="O78" i="15"/>
  <c r="F78" i="15"/>
  <c r="E78" i="15"/>
  <c r="D81" i="15"/>
  <c r="D78" i="15"/>
  <c r="AC72" i="15"/>
  <c r="V72" i="15"/>
  <c r="O72" i="15"/>
  <c r="H72" i="15"/>
  <c r="AC71" i="15"/>
  <c r="V71" i="15"/>
  <c r="O71" i="15"/>
  <c r="H71" i="15"/>
  <c r="AC70" i="15"/>
  <c r="V70" i="15"/>
  <c r="O70" i="15"/>
  <c r="H70" i="15"/>
  <c r="AC69" i="15"/>
  <c r="V69" i="15"/>
  <c r="O69" i="15"/>
  <c r="H69" i="15"/>
  <c r="F72" i="15"/>
  <c r="D72" i="15"/>
  <c r="D71" i="15"/>
  <c r="D70" i="15"/>
  <c r="F69" i="15"/>
  <c r="D69" i="15"/>
  <c r="AC68" i="15"/>
  <c r="V68" i="15"/>
  <c r="O68" i="15"/>
  <c r="H68" i="15"/>
  <c r="AC67" i="15"/>
  <c r="V67" i="15"/>
  <c r="O67" i="15"/>
  <c r="H67" i="15"/>
  <c r="F68" i="15"/>
  <c r="D68" i="15"/>
  <c r="AC66" i="15"/>
  <c r="V66" i="15"/>
  <c r="F67" i="15"/>
  <c r="D67" i="15"/>
  <c r="F66" i="15"/>
  <c r="E66" i="15"/>
  <c r="D66" i="15"/>
  <c r="AC58" i="15"/>
  <c r="AC57" i="15"/>
  <c r="AC56" i="15"/>
  <c r="AC55" i="15"/>
  <c r="AC54" i="15"/>
  <c r="AC53" i="15"/>
  <c r="AC52" i="15"/>
  <c r="AC51" i="15"/>
  <c r="AC50" i="15"/>
  <c r="AC49" i="15"/>
  <c r="AC48" i="15"/>
  <c r="AC47" i="15"/>
  <c r="AC46" i="15"/>
  <c r="AC45" i="15"/>
  <c r="AC44" i="15"/>
  <c r="AC43" i="15"/>
  <c r="AC42" i="15"/>
  <c r="AC41" i="15"/>
  <c r="AC40" i="15"/>
  <c r="AC39" i="15"/>
  <c r="AC38" i="15"/>
  <c r="AC17" i="15"/>
  <c r="AC16" i="15"/>
  <c r="AC15" i="15"/>
  <c r="V58" i="15"/>
  <c r="V57" i="15"/>
  <c r="V56" i="15"/>
  <c r="V55" i="15"/>
  <c r="V54" i="15"/>
  <c r="V53" i="15"/>
  <c r="V52" i="15"/>
  <c r="V51" i="15"/>
  <c r="V50" i="15"/>
  <c r="V49" i="15"/>
  <c r="V48" i="15"/>
  <c r="V47" i="15"/>
  <c r="V46" i="15"/>
  <c r="V45" i="15"/>
  <c r="V44" i="15"/>
  <c r="V43" i="15"/>
  <c r="V42" i="15"/>
  <c r="V41" i="15"/>
  <c r="V40" i="15"/>
  <c r="V39" i="15"/>
  <c r="V38" i="15"/>
  <c r="V17" i="15"/>
  <c r="V16" i="15"/>
  <c r="V15" i="15"/>
  <c r="O58" i="15"/>
  <c r="O57" i="15"/>
  <c r="O56" i="15"/>
  <c r="O55" i="15"/>
  <c r="O54" i="15"/>
  <c r="O53" i="15"/>
  <c r="O52" i="15"/>
  <c r="O51" i="15"/>
  <c r="O50" i="15"/>
  <c r="O49" i="15"/>
  <c r="O48" i="15"/>
  <c r="O47" i="15"/>
  <c r="O46" i="15"/>
  <c r="O45" i="15"/>
  <c r="O44" i="15"/>
  <c r="O43" i="15"/>
  <c r="O42" i="15"/>
  <c r="O41" i="15"/>
  <c r="O40" i="15"/>
  <c r="O39" i="15"/>
  <c r="O38" i="15"/>
  <c r="O17" i="15"/>
  <c r="H58" i="15"/>
  <c r="H57" i="15"/>
  <c r="H56" i="15"/>
  <c r="H55" i="15"/>
  <c r="H54" i="15"/>
  <c r="H53" i="15"/>
  <c r="H52" i="15"/>
  <c r="H51" i="15"/>
  <c r="H50" i="15"/>
  <c r="H49" i="15"/>
  <c r="H48" i="15"/>
  <c r="H47" i="15"/>
  <c r="H46" i="15"/>
  <c r="H45" i="15"/>
  <c r="H44" i="15"/>
  <c r="H43" i="15"/>
  <c r="H42" i="15"/>
  <c r="AW9" i="3" l="1"/>
  <c r="BG8" i="3"/>
  <c r="BL8" i="3"/>
  <c r="I168" i="15" s="1"/>
  <c r="BI33" i="3"/>
  <c r="BR33" i="3"/>
  <c r="BS33" i="3"/>
  <c r="AD56" i="15" s="1"/>
  <c r="AE56" i="15" s="1"/>
  <c r="AO33" i="3"/>
  <c r="AN33" i="3"/>
  <c r="AM33" i="3"/>
  <c r="BO33" i="3"/>
  <c r="P56" i="15" s="1"/>
  <c r="Q56" i="15" s="1"/>
  <c r="BM33" i="3"/>
  <c r="I56" i="15" s="1"/>
  <c r="BP33" i="3"/>
  <c r="BN33" i="3"/>
  <c r="BL33" i="3"/>
  <c r="F38" i="15" l="1"/>
  <c r="E38" i="15"/>
  <c r="D38" i="15"/>
  <c r="F16" i="15"/>
  <c r="F15" i="15"/>
  <c r="E15" i="15"/>
  <c r="D15" i="15"/>
  <c r="CJ220" i="15" l="1"/>
  <c r="CJ224" i="15" s="1"/>
  <c r="BV179" i="15"/>
  <c r="BV219" i="15" s="1"/>
  <c r="CI111" i="15"/>
  <c r="CF111" i="15"/>
  <c r="CC111" i="15"/>
  <c r="BZ111" i="15"/>
  <c r="BU111" i="15"/>
  <c r="BR111" i="15"/>
  <c r="BO111" i="15"/>
  <c r="BL111" i="15"/>
  <c r="BM111" i="15" s="1"/>
  <c r="BM178" i="15" s="1"/>
  <c r="BG111" i="15"/>
  <c r="BD111" i="15"/>
  <c r="BA111" i="15"/>
  <c r="AX111" i="15"/>
  <c r="AS111" i="15"/>
  <c r="AP111" i="15"/>
  <c r="AM111" i="15"/>
  <c r="AJ111" i="15"/>
  <c r="CI16" i="15"/>
  <c r="CJ16" i="15" s="1"/>
  <c r="CF16" i="15"/>
  <c r="CG16" i="15" s="1"/>
  <c r="CC16" i="15"/>
  <c r="CD16" i="15" s="1"/>
  <c r="BZ16" i="15"/>
  <c r="CA16" i="15" s="1"/>
  <c r="BU16" i="15"/>
  <c r="BV16" i="15" s="1"/>
  <c r="BR16" i="15"/>
  <c r="BS16" i="15" s="1"/>
  <c r="BO16" i="15"/>
  <c r="BP16" i="15" s="1"/>
  <c r="BL16" i="15"/>
  <c r="BM16" i="15" s="1"/>
  <c r="BG16" i="15"/>
  <c r="BH16" i="15" s="1"/>
  <c r="BD16" i="15"/>
  <c r="BE16" i="15" s="1"/>
  <c r="BA16" i="15"/>
  <c r="BB16" i="15" s="1"/>
  <c r="AX16" i="15"/>
  <c r="AY16" i="15" s="1"/>
  <c r="AS16" i="15"/>
  <c r="AT16" i="15" s="1"/>
  <c r="AP16" i="15"/>
  <c r="AQ16" i="15" s="1"/>
  <c r="AM16" i="15"/>
  <c r="AN16" i="15" s="1"/>
  <c r="AJ16" i="15"/>
  <c r="AK16" i="15" s="1"/>
  <c r="CI15" i="15"/>
  <c r="CF15" i="15"/>
  <c r="CG15" i="15" s="1"/>
  <c r="CC15" i="15"/>
  <c r="CD15" i="15" s="1"/>
  <c r="BZ15" i="15"/>
  <c r="CA15" i="15" s="1"/>
  <c r="BU15" i="15"/>
  <c r="BV15" i="15" s="1"/>
  <c r="BR15" i="15"/>
  <c r="BO15" i="15"/>
  <c r="BP15" i="15" s="1"/>
  <c r="BL15" i="15"/>
  <c r="BM15" i="15" s="1"/>
  <c r="BG15" i="15"/>
  <c r="BH15" i="15" s="1"/>
  <c r="BD15" i="15"/>
  <c r="BE15" i="15" s="1"/>
  <c r="BA15" i="15"/>
  <c r="BB15" i="15" s="1"/>
  <c r="AX15" i="15"/>
  <c r="AY15" i="15" s="1"/>
  <c r="AS15" i="15"/>
  <c r="AT15" i="15" s="1"/>
  <c r="AP15" i="15"/>
  <c r="AQ15" i="15" s="1"/>
  <c r="AM15" i="15"/>
  <c r="AN15" i="15" s="1"/>
  <c r="AJ15" i="15"/>
  <c r="AK15" i="15" s="1"/>
  <c r="BB111" i="15" l="1"/>
  <c r="BB178" i="15" s="1"/>
  <c r="CJ179" i="15"/>
  <c r="CJ219" i="15" s="1"/>
  <c r="AQ179" i="15"/>
  <c r="AQ219" i="15" s="1"/>
  <c r="AY179" i="15"/>
  <c r="AY219" i="15" s="1"/>
  <c r="BB179" i="15"/>
  <c r="BB219" i="15" s="1"/>
  <c r="AN179" i="15"/>
  <c r="AN219" i="15" s="1"/>
  <c r="BE179" i="15"/>
  <c r="BE219" i="15" s="1"/>
  <c r="CD179" i="15"/>
  <c r="CD219" i="15" s="1"/>
  <c r="CG179" i="15"/>
  <c r="CG219" i="15" s="1"/>
  <c r="CJ15" i="15"/>
  <c r="CJ111" i="15"/>
  <c r="CJ178" i="15" s="1"/>
  <c r="BS15" i="15"/>
  <c r="BP111" i="15"/>
  <c r="BP178" i="15" s="1"/>
  <c r="CA179" i="15"/>
  <c r="CA219" i="15" s="1"/>
  <c r="CG111" i="15"/>
  <c r="CG178" i="15" s="1"/>
  <c r="BH179" i="15"/>
  <c r="BH219" i="15" s="1"/>
  <c r="AT111" i="15"/>
  <c r="AT178" i="15" s="1"/>
  <c r="BP179" i="15"/>
  <c r="BP219" i="15" s="1"/>
  <c r="BV111" i="15"/>
  <c r="BV178" i="15" s="1"/>
  <c r="AK179" i="15"/>
  <c r="AK219" i="15" s="1"/>
  <c r="BS179" i="15"/>
  <c r="BS219" i="15" s="1"/>
  <c r="AY111" i="15"/>
  <c r="AY178" i="15" s="1"/>
  <c r="AK220" i="15"/>
  <c r="AK224" i="15" s="1"/>
  <c r="CA111" i="15"/>
  <c r="CA178" i="15" s="1"/>
  <c r="AK111" i="15"/>
  <c r="AK178" i="15" s="1"/>
  <c r="CD111" i="15"/>
  <c r="CD178" i="15" s="1"/>
  <c r="AN111" i="15"/>
  <c r="AN178" i="15" s="1"/>
  <c r="BH111" i="15"/>
  <c r="BH178" i="15" s="1"/>
  <c r="BM179" i="15"/>
  <c r="BM219" i="15" s="1"/>
  <c r="BP220" i="15"/>
  <c r="BP224" i="15" s="1"/>
  <c r="AQ220" i="15"/>
  <c r="AQ224" i="15" s="1"/>
  <c r="BS220" i="15"/>
  <c r="BS224" i="15" s="1"/>
  <c r="AN220" i="15"/>
  <c r="AN224" i="15" s="1"/>
  <c r="AT220" i="15"/>
  <c r="AT224" i="15" s="1"/>
  <c r="BV220" i="15"/>
  <c r="BV224" i="15" s="1"/>
  <c r="AY220" i="15"/>
  <c r="AY224" i="15" s="1"/>
  <c r="CA220" i="15"/>
  <c r="CA224" i="15" s="1"/>
  <c r="BM220" i="15"/>
  <c r="BM224" i="15" s="1"/>
  <c r="AT179" i="15"/>
  <c r="AT219" i="15" s="1"/>
  <c r="BB220" i="15"/>
  <c r="BB224" i="15" s="1"/>
  <c r="CD220" i="15"/>
  <c r="CD224" i="15" s="1"/>
  <c r="AQ111" i="15"/>
  <c r="AQ178" i="15" s="1"/>
  <c r="BE111" i="15"/>
  <c r="BE178" i="15" s="1"/>
  <c r="BS111" i="15"/>
  <c r="BS178" i="15" s="1"/>
  <c r="BE220" i="15"/>
  <c r="BE224" i="15" s="1"/>
  <c r="CG220" i="15"/>
  <c r="CG224" i="15" s="1"/>
  <c r="BH220" i="15"/>
  <c r="BH224" i="15" s="1"/>
  <c r="W208" i="15" l="1"/>
  <c r="X208" i="15" s="1"/>
  <c r="BS154" i="3"/>
  <c r="AD96" i="15" s="1"/>
  <c r="AE96" i="15" s="1"/>
  <c r="BR154" i="3"/>
  <c r="AD217" i="15" s="1"/>
  <c r="AE217" i="15" s="1"/>
  <c r="BQ154" i="3"/>
  <c r="W96" i="15" s="1"/>
  <c r="X96" i="15" s="1"/>
  <c r="BP154" i="3"/>
  <c r="W217" i="15" s="1"/>
  <c r="X217" i="15" s="1"/>
  <c r="BO154" i="3"/>
  <c r="P96" i="15" s="1"/>
  <c r="Q96" i="15" s="1"/>
  <c r="BN154" i="3"/>
  <c r="P217" i="15" s="1"/>
  <c r="Q217" i="15" s="1"/>
  <c r="BL154" i="3"/>
  <c r="I217" i="15" s="1"/>
  <c r="BS153" i="3"/>
  <c r="AD81" i="15" s="1"/>
  <c r="AE81" i="15" s="1"/>
  <c r="BR153" i="3"/>
  <c r="BQ153" i="3"/>
  <c r="W81" i="15" s="1"/>
  <c r="X81" i="15" s="1"/>
  <c r="BP153" i="3"/>
  <c r="BO153" i="3"/>
  <c r="P81" i="15" s="1"/>
  <c r="Q81" i="15" s="1"/>
  <c r="BN153" i="3"/>
  <c r="BL153" i="3"/>
  <c r="BS150" i="3"/>
  <c r="AD78" i="15" s="1"/>
  <c r="AE78" i="15" s="1"/>
  <c r="BR150" i="3"/>
  <c r="BQ150" i="3"/>
  <c r="W78" i="15" s="1"/>
  <c r="X78" i="15" s="1"/>
  <c r="BP150" i="3"/>
  <c r="BO150" i="3"/>
  <c r="P78" i="15" s="1"/>
  <c r="Q78" i="15" s="1"/>
  <c r="BN150" i="3"/>
  <c r="BL150" i="3"/>
  <c r="BS148" i="3"/>
  <c r="AD84" i="15" s="1"/>
  <c r="BR148" i="3"/>
  <c r="AD166" i="15" s="1"/>
  <c r="AE166" i="15" s="1"/>
  <c r="BQ148" i="3"/>
  <c r="W84" i="15" s="1"/>
  <c r="BP148" i="3"/>
  <c r="W166" i="15" s="1"/>
  <c r="X166" i="15" s="1"/>
  <c r="BO148" i="3"/>
  <c r="P84" i="15" s="1"/>
  <c r="BN148" i="3"/>
  <c r="P166" i="15" s="1"/>
  <c r="BM148" i="3"/>
  <c r="I84" i="15" s="1"/>
  <c r="I166" i="15"/>
  <c r="BS146" i="3"/>
  <c r="AD83" i="15" s="1"/>
  <c r="BR146" i="3"/>
  <c r="AD165" i="15" s="1"/>
  <c r="AE165" i="15" s="1"/>
  <c r="BQ146" i="3"/>
  <c r="W83" i="15" s="1"/>
  <c r="BP146" i="3"/>
  <c r="W165" i="15" s="1"/>
  <c r="X165" i="15" s="1"/>
  <c r="BO146" i="3"/>
  <c r="P83" i="15" s="1"/>
  <c r="BN146" i="3"/>
  <c r="P165" i="15" s="1"/>
  <c r="Q165" i="15" s="1"/>
  <c r="BM146" i="3"/>
  <c r="I83" i="15" s="1"/>
  <c r="BL146" i="3"/>
  <c r="I165" i="15" s="1"/>
  <c r="BS145" i="3"/>
  <c r="AD18" i="15" s="1"/>
  <c r="AE18" i="15" s="1"/>
  <c r="BR145" i="3"/>
  <c r="BQ145" i="3"/>
  <c r="W18" i="15" s="1"/>
  <c r="X18" i="15" s="1"/>
  <c r="BP145" i="3"/>
  <c r="BO145" i="3"/>
  <c r="P18" i="15" s="1"/>
  <c r="Q18" i="15" s="1"/>
  <c r="BN145" i="3"/>
  <c r="BM145" i="3"/>
  <c r="I18" i="15" s="1"/>
  <c r="BS144" i="3"/>
  <c r="BR144" i="3"/>
  <c r="BQ144" i="3"/>
  <c r="BP144" i="3"/>
  <c r="BO144" i="3"/>
  <c r="BN144" i="3"/>
  <c r="BM144" i="3"/>
  <c r="BL144" i="3"/>
  <c r="BS143" i="3"/>
  <c r="BR143" i="3"/>
  <c r="AD122" i="15" s="1"/>
  <c r="BQ143" i="3"/>
  <c r="BP143" i="3"/>
  <c r="W122" i="15" s="1"/>
  <c r="X122" i="15" s="1"/>
  <c r="BO143" i="3"/>
  <c r="BN143" i="3"/>
  <c r="P122" i="15" s="1"/>
  <c r="BM143" i="3"/>
  <c r="BL143" i="3"/>
  <c r="I122" i="15" s="1"/>
  <c r="BS142" i="3"/>
  <c r="AD36" i="15" s="1"/>
  <c r="AE36" i="15" s="1"/>
  <c r="BR142" i="3"/>
  <c r="BQ142" i="3"/>
  <c r="W36" i="15" s="1"/>
  <c r="X36" i="15" s="1"/>
  <c r="BP142" i="3"/>
  <c r="BO142" i="3"/>
  <c r="P36" i="15" s="1"/>
  <c r="Q36" i="15" s="1"/>
  <c r="BN142" i="3"/>
  <c r="BM142" i="3"/>
  <c r="I36" i="15" s="1"/>
  <c r="BL142" i="3"/>
  <c r="BS141" i="3"/>
  <c r="BR141" i="3"/>
  <c r="AD121" i="15" s="1"/>
  <c r="AE121" i="15" s="1"/>
  <c r="BQ141" i="3"/>
  <c r="BP141" i="3"/>
  <c r="W121" i="15" s="1"/>
  <c r="X121" i="15" s="1"/>
  <c r="BO141" i="3"/>
  <c r="BN141" i="3"/>
  <c r="P121" i="15" s="1"/>
  <c r="Q121" i="15" s="1"/>
  <c r="BM141" i="3"/>
  <c r="BL141" i="3"/>
  <c r="I121" i="15" s="1"/>
  <c r="BS140" i="3"/>
  <c r="BR140" i="3"/>
  <c r="AD176" i="15" s="1"/>
  <c r="AE176" i="15" s="1"/>
  <c r="BQ140" i="3"/>
  <c r="BP140" i="3"/>
  <c r="W176" i="15" s="1"/>
  <c r="X176" i="15" s="1"/>
  <c r="BO140" i="3"/>
  <c r="BN140" i="3"/>
  <c r="P176" i="15" s="1"/>
  <c r="Q176" i="15" s="1"/>
  <c r="BM140" i="3"/>
  <c r="BL140" i="3"/>
  <c r="I176" i="15" s="1"/>
  <c r="BS139" i="3"/>
  <c r="AD95" i="15" s="1"/>
  <c r="AE95" i="15" s="1"/>
  <c r="BR139" i="3"/>
  <c r="AD164" i="15" s="1"/>
  <c r="AE164" i="15" s="1"/>
  <c r="BQ139" i="3"/>
  <c r="W95" i="15" s="1"/>
  <c r="X95" i="15" s="1"/>
  <c r="BP139" i="3"/>
  <c r="W164" i="15" s="1"/>
  <c r="X164" i="15" s="1"/>
  <c r="BO139" i="3"/>
  <c r="P95" i="15" s="1"/>
  <c r="Q95" i="15" s="1"/>
  <c r="BN139" i="3"/>
  <c r="P164" i="15" s="1"/>
  <c r="Q164" i="15" s="1"/>
  <c r="BM139" i="3"/>
  <c r="I95" i="15" s="1"/>
  <c r="BL139" i="3"/>
  <c r="I164" i="15" s="1"/>
  <c r="BS137" i="3"/>
  <c r="BR137" i="3"/>
  <c r="AD163" i="15" s="1"/>
  <c r="BQ137" i="3"/>
  <c r="BP137" i="3"/>
  <c r="W163" i="15" s="1"/>
  <c r="BO137" i="3"/>
  <c r="BN137" i="3"/>
  <c r="P163" i="15" s="1"/>
  <c r="Q163" i="15" s="1"/>
  <c r="BM137" i="3"/>
  <c r="BL137" i="3"/>
  <c r="I163" i="15" s="1"/>
  <c r="BS136" i="3"/>
  <c r="BR136" i="3"/>
  <c r="AD216" i="15" s="1"/>
  <c r="BQ136" i="3"/>
  <c r="BP136" i="3"/>
  <c r="W216" i="15" s="1"/>
  <c r="BO136" i="3"/>
  <c r="BN136" i="3"/>
  <c r="P216" i="15" s="1"/>
  <c r="BM136" i="3"/>
  <c r="BL136" i="3"/>
  <c r="I216" i="15" s="1"/>
  <c r="BS135" i="3"/>
  <c r="AD94" i="15" s="1"/>
  <c r="AE94" i="15" s="1"/>
  <c r="BR135" i="3"/>
  <c r="AD215" i="15" s="1"/>
  <c r="AE215" i="15" s="1"/>
  <c r="BQ135" i="3"/>
  <c r="W94" i="15" s="1"/>
  <c r="X94" i="15" s="1"/>
  <c r="BP135" i="3"/>
  <c r="W215" i="15" s="1"/>
  <c r="X215" i="15" s="1"/>
  <c r="BO135" i="3"/>
  <c r="P94" i="15" s="1"/>
  <c r="Q94" i="15" s="1"/>
  <c r="BN135" i="3"/>
  <c r="P215" i="15" s="1"/>
  <c r="Q215" i="15" s="1"/>
  <c r="BL135" i="3"/>
  <c r="I215" i="15" s="1"/>
  <c r="BR134" i="3"/>
  <c r="AD162" i="15" s="1"/>
  <c r="AE162" i="15" s="1"/>
  <c r="BP134" i="3"/>
  <c r="W162" i="15" s="1"/>
  <c r="X162" i="15" s="1"/>
  <c r="BN134" i="3"/>
  <c r="P162" i="15" s="1"/>
  <c r="Q162" i="15" s="1"/>
  <c r="BL134" i="3"/>
  <c r="I162" i="15" s="1"/>
  <c r="BR133" i="3"/>
  <c r="AD161" i="15" s="1"/>
  <c r="AE161" i="15" s="1"/>
  <c r="BP133" i="3"/>
  <c r="W161" i="15" s="1"/>
  <c r="X161" i="15" s="1"/>
  <c r="BN133" i="3"/>
  <c r="P161" i="15" s="1"/>
  <c r="Q161" i="15" s="1"/>
  <c r="BL133" i="3"/>
  <c r="I161" i="15" s="1"/>
  <c r="BS132" i="3"/>
  <c r="AD91" i="15" s="1"/>
  <c r="AE91" i="15" s="1"/>
  <c r="BR132" i="3"/>
  <c r="AD160" i="15" s="1"/>
  <c r="AE160" i="15" s="1"/>
  <c r="BQ132" i="3"/>
  <c r="W91" i="15" s="1"/>
  <c r="X91" i="15" s="1"/>
  <c r="BP132" i="3"/>
  <c r="W160" i="15" s="1"/>
  <c r="X160" i="15" s="1"/>
  <c r="BO132" i="3"/>
  <c r="P91" i="15" s="1"/>
  <c r="Q91" i="15" s="1"/>
  <c r="BN132" i="3"/>
  <c r="P160" i="15" s="1"/>
  <c r="Q160" i="15" s="1"/>
  <c r="BL132" i="3"/>
  <c r="I160" i="15" s="1"/>
  <c r="BR130" i="3"/>
  <c r="AD213" i="15" s="1"/>
  <c r="AE213" i="15" s="1"/>
  <c r="BP130" i="3"/>
  <c r="W213" i="15" s="1"/>
  <c r="X213" i="15" s="1"/>
  <c r="BN130" i="3"/>
  <c r="P213" i="15" s="1"/>
  <c r="Q213" i="15" s="1"/>
  <c r="BL130" i="3"/>
  <c r="I213" i="15" s="1"/>
  <c r="BR129" i="3"/>
  <c r="AD212" i="15" s="1"/>
  <c r="AE212" i="15" s="1"/>
  <c r="BP129" i="3"/>
  <c r="W212" i="15" s="1"/>
  <c r="X212" i="15" s="1"/>
  <c r="BN129" i="3"/>
  <c r="P212" i="15" s="1"/>
  <c r="Q212" i="15" s="1"/>
  <c r="BL129" i="3"/>
  <c r="I212" i="15" s="1"/>
  <c r="BR128" i="3"/>
  <c r="AD159" i="15" s="1"/>
  <c r="AE159" i="15" s="1"/>
  <c r="BP128" i="3"/>
  <c r="W159" i="15" s="1"/>
  <c r="X159" i="15" s="1"/>
  <c r="BN128" i="3"/>
  <c r="P159" i="15" s="1"/>
  <c r="Q159" i="15" s="1"/>
  <c r="BL128" i="3"/>
  <c r="I159" i="15" s="1"/>
  <c r="BR127" i="3"/>
  <c r="AD158" i="15" s="1"/>
  <c r="AE158" i="15" s="1"/>
  <c r="BP127" i="3"/>
  <c r="W158" i="15" s="1"/>
  <c r="X158" i="15" s="1"/>
  <c r="BN127" i="3"/>
  <c r="P158" i="15" s="1"/>
  <c r="Q158" i="15" s="1"/>
  <c r="BL127" i="3"/>
  <c r="I158" i="15" s="1"/>
  <c r="BS126" i="3"/>
  <c r="AD86" i="15" s="1"/>
  <c r="AE86" i="15" s="1"/>
  <c r="BR126" i="3"/>
  <c r="AD157" i="15" s="1"/>
  <c r="AE157" i="15" s="1"/>
  <c r="BQ126" i="3"/>
  <c r="W86" i="15" s="1"/>
  <c r="X86" i="15" s="1"/>
  <c r="BP126" i="3"/>
  <c r="W157" i="15" s="1"/>
  <c r="X157" i="15" s="1"/>
  <c r="BO126" i="3"/>
  <c r="P86" i="15" s="1"/>
  <c r="Q86" i="15" s="1"/>
  <c r="BN126" i="3"/>
  <c r="P157" i="15" s="1"/>
  <c r="Q157" i="15" s="1"/>
  <c r="BL126" i="3"/>
  <c r="I157" i="15" s="1"/>
  <c r="BS125" i="3"/>
  <c r="AD85" i="15" s="1"/>
  <c r="AE85" i="15" s="1"/>
  <c r="BR125" i="3"/>
  <c r="AD156" i="15" s="1"/>
  <c r="AE156" i="15" s="1"/>
  <c r="BQ125" i="3"/>
  <c r="W85" i="15" s="1"/>
  <c r="X85" i="15" s="1"/>
  <c r="BP125" i="3"/>
  <c r="W156" i="15" s="1"/>
  <c r="X156" i="15" s="1"/>
  <c r="BO125" i="3"/>
  <c r="P85" i="15" s="1"/>
  <c r="Q85" i="15" s="1"/>
  <c r="BN125" i="3"/>
  <c r="P156" i="15" s="1"/>
  <c r="Q156" i="15" s="1"/>
  <c r="BL125" i="3"/>
  <c r="I156" i="15" s="1"/>
  <c r="BS124" i="3"/>
  <c r="BR124" i="3"/>
  <c r="AD202" i="15" s="1"/>
  <c r="AE202" i="15" s="1"/>
  <c r="BQ124" i="3"/>
  <c r="BP124" i="3"/>
  <c r="W202" i="15" s="1"/>
  <c r="BO124" i="3"/>
  <c r="BN124" i="3"/>
  <c r="P202" i="15" s="1"/>
  <c r="BM124" i="3"/>
  <c r="BL124" i="3"/>
  <c r="I202" i="15" s="1"/>
  <c r="BS123" i="3"/>
  <c r="BR123" i="3"/>
  <c r="AD201" i="15" s="1"/>
  <c r="AE201" i="15" s="1"/>
  <c r="BQ123" i="3"/>
  <c r="BP123" i="3"/>
  <c r="W201" i="15" s="1"/>
  <c r="X201" i="15" s="1"/>
  <c r="BO123" i="3"/>
  <c r="BN123" i="3"/>
  <c r="P201" i="15" s="1"/>
  <c r="Q201" i="15" s="1"/>
  <c r="BM123" i="3"/>
  <c r="BL123" i="3"/>
  <c r="I201" i="15" s="1"/>
  <c r="BS122" i="3"/>
  <c r="BR122" i="3"/>
  <c r="AD175" i="15" s="1"/>
  <c r="AE175" i="15" s="1"/>
  <c r="BQ122" i="3"/>
  <c r="BP122" i="3"/>
  <c r="W175" i="15" s="1"/>
  <c r="X175" i="15" s="1"/>
  <c r="BO122" i="3"/>
  <c r="BN122" i="3"/>
  <c r="P175" i="15" s="1"/>
  <c r="Q175" i="15" s="1"/>
  <c r="BM122" i="3"/>
  <c r="BL122" i="3"/>
  <c r="I175" i="15" s="1"/>
  <c r="BS121" i="3"/>
  <c r="BR121" i="3"/>
  <c r="AD222" i="15" s="1"/>
  <c r="AE222" i="15" s="1"/>
  <c r="BQ121" i="3"/>
  <c r="BP121" i="3"/>
  <c r="W222" i="15" s="1"/>
  <c r="X222" i="15" s="1"/>
  <c r="BO121" i="3"/>
  <c r="BN121" i="3"/>
  <c r="P222" i="15" s="1"/>
  <c r="Q222" i="15" s="1"/>
  <c r="BM121" i="3"/>
  <c r="BL121" i="3"/>
  <c r="I222" i="15" s="1"/>
  <c r="BS120" i="3"/>
  <c r="BR120" i="3"/>
  <c r="AD200" i="15" s="1"/>
  <c r="BQ120" i="3"/>
  <c r="BP120" i="3"/>
  <c r="W200" i="15" s="1"/>
  <c r="X200" i="15" s="1"/>
  <c r="BO120" i="3"/>
  <c r="BN120" i="3"/>
  <c r="P200" i="15" s="1"/>
  <c r="BM120" i="3"/>
  <c r="BL120" i="3"/>
  <c r="I200" i="15" s="1"/>
  <c r="BS119" i="3"/>
  <c r="BR119" i="3"/>
  <c r="AD117" i="15" s="1"/>
  <c r="AE117" i="15" s="1"/>
  <c r="BQ119" i="3"/>
  <c r="BP119" i="3"/>
  <c r="W117" i="15" s="1"/>
  <c r="X117" i="15" s="1"/>
  <c r="BO119" i="3"/>
  <c r="BN119" i="3"/>
  <c r="P117" i="15" s="1"/>
  <c r="Q117" i="15" s="1"/>
  <c r="BM119" i="3"/>
  <c r="BL119" i="3"/>
  <c r="I117" i="15" s="1"/>
  <c r="BS118" i="3"/>
  <c r="BR118" i="3"/>
  <c r="AD199" i="15" s="1"/>
  <c r="AE199" i="15" s="1"/>
  <c r="BQ118" i="3"/>
  <c r="BP118" i="3"/>
  <c r="W199" i="15" s="1"/>
  <c r="X199" i="15" s="1"/>
  <c r="BO118" i="3"/>
  <c r="BN118" i="3"/>
  <c r="P199" i="15" s="1"/>
  <c r="Q199" i="15" s="1"/>
  <c r="BM118" i="3"/>
  <c r="BL118" i="3"/>
  <c r="I199" i="15" s="1"/>
  <c r="BS117" i="3"/>
  <c r="BR117" i="3"/>
  <c r="AD198" i="15" s="1"/>
  <c r="AE198" i="15" s="1"/>
  <c r="BQ117" i="3"/>
  <c r="BP117" i="3"/>
  <c r="W198" i="15" s="1"/>
  <c r="X198" i="15" s="1"/>
  <c r="BO117" i="3"/>
  <c r="BN117" i="3"/>
  <c r="P198" i="15" s="1"/>
  <c r="Q198" i="15" s="1"/>
  <c r="BM117" i="3"/>
  <c r="BL117" i="3"/>
  <c r="I198" i="15" s="1"/>
  <c r="BS116" i="3"/>
  <c r="BR116" i="3"/>
  <c r="AD197" i="15" s="1"/>
  <c r="AE197" i="15" s="1"/>
  <c r="BQ116" i="3"/>
  <c r="BP116" i="3"/>
  <c r="W197" i="15" s="1"/>
  <c r="X197" i="15" s="1"/>
  <c r="BO116" i="3"/>
  <c r="BN116" i="3"/>
  <c r="P197" i="15" s="1"/>
  <c r="BM116" i="3"/>
  <c r="BL116" i="3"/>
  <c r="I197" i="15" s="1"/>
  <c r="BS115" i="3"/>
  <c r="BR115" i="3"/>
  <c r="AD196" i="15" s="1"/>
  <c r="BQ115" i="3"/>
  <c r="BP115" i="3"/>
  <c r="W196" i="15" s="1"/>
  <c r="BO115" i="3"/>
  <c r="BN115" i="3"/>
  <c r="P196" i="15" s="1"/>
  <c r="Q196" i="15" s="1"/>
  <c r="BM115" i="3"/>
  <c r="BL115" i="3"/>
  <c r="I196" i="15" s="1"/>
  <c r="BS114" i="3"/>
  <c r="BR114" i="3"/>
  <c r="AD174" i="15" s="1"/>
  <c r="AE174" i="15" s="1"/>
  <c r="BQ114" i="3"/>
  <c r="BP114" i="3"/>
  <c r="W174" i="15" s="1"/>
  <c r="X174" i="15" s="1"/>
  <c r="BO114" i="3"/>
  <c r="BN114" i="3"/>
  <c r="P174" i="15" s="1"/>
  <c r="Q174" i="15" s="1"/>
  <c r="BM114" i="3"/>
  <c r="BL114" i="3"/>
  <c r="I174" i="15" s="1"/>
  <c r="BS113" i="3"/>
  <c r="AD31" i="15" s="1"/>
  <c r="AE31" i="15" s="1"/>
  <c r="BR113" i="3"/>
  <c r="AD195" i="15" s="1"/>
  <c r="AE195" i="15" s="1"/>
  <c r="BQ113" i="3"/>
  <c r="W31" i="15" s="1"/>
  <c r="X31" i="15" s="1"/>
  <c r="BP113" i="3"/>
  <c r="W195" i="15" s="1"/>
  <c r="X195" i="15" s="1"/>
  <c r="BO113" i="3"/>
  <c r="P31" i="15" s="1"/>
  <c r="Q31" i="15" s="1"/>
  <c r="BN113" i="3"/>
  <c r="P195" i="15" s="1"/>
  <c r="Q195" i="15" s="1"/>
  <c r="BM113" i="3"/>
  <c r="I31" i="15" s="1"/>
  <c r="BL113" i="3"/>
  <c r="I195" i="15" s="1"/>
  <c r="BS112" i="3"/>
  <c r="BR112" i="3"/>
  <c r="AD113" i="15" s="1"/>
  <c r="AE113" i="15" s="1"/>
  <c r="BQ112" i="3"/>
  <c r="BP112" i="3"/>
  <c r="W113" i="15" s="1"/>
  <c r="X113" i="15" s="1"/>
  <c r="BO112" i="3"/>
  <c r="BN112" i="3"/>
  <c r="P113" i="15" s="1"/>
  <c r="Q113" i="15" s="1"/>
  <c r="BM112" i="3"/>
  <c r="I22" i="15" s="1"/>
  <c r="BL112" i="3"/>
  <c r="I113" i="15" s="1"/>
  <c r="BS111" i="3"/>
  <c r="AD29" i="15" s="1"/>
  <c r="AE29" i="15" s="1"/>
  <c r="BR111" i="3"/>
  <c r="AD114" i="15" s="1"/>
  <c r="AE114" i="15" s="1"/>
  <c r="BQ111" i="3"/>
  <c r="W29" i="15" s="1"/>
  <c r="X29" i="15" s="1"/>
  <c r="BP111" i="3"/>
  <c r="W114" i="15" s="1"/>
  <c r="X114" i="15" s="1"/>
  <c r="BO111" i="3"/>
  <c r="P29" i="15" s="1"/>
  <c r="Q29" i="15" s="1"/>
  <c r="BN111" i="3"/>
  <c r="P114" i="15" s="1"/>
  <c r="Q114" i="15" s="1"/>
  <c r="BL111" i="3"/>
  <c r="I114" i="15" s="1"/>
  <c r="BS110" i="3"/>
  <c r="AD28" i="15" s="1"/>
  <c r="AE28" i="15" s="1"/>
  <c r="BR110" i="3"/>
  <c r="AD192" i="15" s="1"/>
  <c r="AE192" i="15" s="1"/>
  <c r="BQ110" i="3"/>
  <c r="W28" i="15" s="1"/>
  <c r="X28" i="15" s="1"/>
  <c r="BP110" i="3"/>
  <c r="W192" i="15" s="1"/>
  <c r="X192" i="15" s="1"/>
  <c r="BO110" i="3"/>
  <c r="P28" i="15" s="1"/>
  <c r="Q28" i="15" s="1"/>
  <c r="BN110" i="3"/>
  <c r="P192" i="15" s="1"/>
  <c r="Q192" i="15" s="1"/>
  <c r="BM110" i="3"/>
  <c r="I28" i="15" s="1"/>
  <c r="BL110" i="3"/>
  <c r="I192" i="15" s="1"/>
  <c r="BR109" i="3"/>
  <c r="BP109" i="3"/>
  <c r="BS108" i="3"/>
  <c r="AD20" i="15" s="1"/>
  <c r="AE20" i="15" s="1"/>
  <c r="BR108" i="3"/>
  <c r="BP108" i="3"/>
  <c r="BO108" i="3"/>
  <c r="P20" i="15" s="1"/>
  <c r="Q20" i="15" s="1"/>
  <c r="BN108" i="3"/>
  <c r="BS107" i="3"/>
  <c r="AD30" i="15" s="1"/>
  <c r="AE30" i="15" s="1"/>
  <c r="BR107" i="3"/>
  <c r="AD112" i="15" s="1"/>
  <c r="AE112" i="15" s="1"/>
  <c r="BQ107" i="3"/>
  <c r="W30" i="15" s="1"/>
  <c r="BP107" i="3"/>
  <c r="W112" i="15" s="1"/>
  <c r="BO107" i="3"/>
  <c r="P30" i="15" s="1"/>
  <c r="Q30" i="15" s="1"/>
  <c r="BN107" i="3"/>
  <c r="P112" i="15" s="1"/>
  <c r="Q112" i="15" s="1"/>
  <c r="I30" i="15"/>
  <c r="BL107" i="3"/>
  <c r="I112" i="15" s="1"/>
  <c r="BS106" i="3"/>
  <c r="BR106" i="3"/>
  <c r="BQ106" i="3"/>
  <c r="BP106" i="3"/>
  <c r="BO106" i="3"/>
  <c r="BN106" i="3"/>
  <c r="BM106" i="3"/>
  <c r="BL106" i="3"/>
  <c r="BS105" i="3"/>
  <c r="BR105" i="3"/>
  <c r="AD193" i="15" s="1"/>
  <c r="AE193" i="15" s="1"/>
  <c r="BQ105" i="3"/>
  <c r="BP105" i="3"/>
  <c r="W193" i="15" s="1"/>
  <c r="X193" i="15" s="1"/>
  <c r="BO105" i="3"/>
  <c r="BN105" i="3"/>
  <c r="P193" i="15" s="1"/>
  <c r="Q193" i="15" s="1"/>
  <c r="BM105" i="3"/>
  <c r="BL105" i="3"/>
  <c r="I193" i="15" s="1"/>
  <c r="BS104" i="3"/>
  <c r="AD27" i="15" s="1"/>
  <c r="AE27" i="15" s="1"/>
  <c r="BR104" i="3"/>
  <c r="AD191" i="15" s="1"/>
  <c r="AE191" i="15" s="1"/>
  <c r="BQ104" i="3"/>
  <c r="W27" i="15" s="1"/>
  <c r="X27" i="15" s="1"/>
  <c r="BP104" i="3"/>
  <c r="W191" i="15" s="1"/>
  <c r="X191" i="15" s="1"/>
  <c r="BO104" i="3"/>
  <c r="P27" i="15" s="1"/>
  <c r="Q27" i="15" s="1"/>
  <c r="BN104" i="3"/>
  <c r="P191" i="15" s="1"/>
  <c r="Q191" i="15" s="1"/>
  <c r="BM104" i="3"/>
  <c r="I27" i="15" s="1"/>
  <c r="BL104" i="3"/>
  <c r="I191" i="15" s="1"/>
  <c r="BS103" i="3"/>
  <c r="AD19" i="15" s="1"/>
  <c r="AE19" i="15" s="1"/>
  <c r="BR103" i="3"/>
  <c r="BQ103" i="3"/>
  <c r="W19" i="15" s="1"/>
  <c r="X19" i="15" s="1"/>
  <c r="BP103" i="3"/>
  <c r="BO103" i="3"/>
  <c r="P19" i="15" s="1"/>
  <c r="Q19" i="15" s="1"/>
  <c r="BN103" i="3"/>
  <c r="BM103" i="3"/>
  <c r="I19" i="15" s="1"/>
  <c r="BL103" i="3"/>
  <c r="BS102" i="3"/>
  <c r="AD26" i="15" s="1"/>
  <c r="AE26" i="15" s="1"/>
  <c r="BR102" i="3"/>
  <c r="AD221" i="15" s="1"/>
  <c r="AE221" i="15" s="1"/>
  <c r="BQ102" i="3"/>
  <c r="W26" i="15" s="1"/>
  <c r="X26" i="15" s="1"/>
  <c r="BP102" i="3"/>
  <c r="W221" i="15" s="1"/>
  <c r="X221" i="15" s="1"/>
  <c r="BO102" i="3"/>
  <c r="P26" i="15" s="1"/>
  <c r="Q26" i="15" s="1"/>
  <c r="BN102" i="3"/>
  <c r="P221" i="15" s="1"/>
  <c r="Q221" i="15" s="1"/>
  <c r="BM102" i="3"/>
  <c r="I26" i="15" s="1"/>
  <c r="BL102" i="3"/>
  <c r="I221" i="15" s="1"/>
  <c r="BS101" i="3"/>
  <c r="AD25" i="15" s="1"/>
  <c r="AE25" i="15" s="1"/>
  <c r="BR101" i="3"/>
  <c r="AD220" i="15" s="1"/>
  <c r="BQ101" i="3"/>
  <c r="W25" i="15" s="1"/>
  <c r="X25" i="15" s="1"/>
  <c r="BP101" i="3"/>
  <c r="W220" i="15" s="1"/>
  <c r="BO101" i="3"/>
  <c r="P25" i="15" s="1"/>
  <c r="Q25" i="15" s="1"/>
  <c r="BN101" i="3"/>
  <c r="P220" i="15" s="1"/>
  <c r="BM101" i="3"/>
  <c r="I25" i="15" s="1"/>
  <c r="BL101" i="3"/>
  <c r="I220" i="15" s="1"/>
  <c r="BS100" i="3"/>
  <c r="BR100" i="3"/>
  <c r="AD190" i="15" s="1"/>
  <c r="AE190" i="15" s="1"/>
  <c r="BQ100" i="3"/>
  <c r="BP100" i="3"/>
  <c r="W190" i="15" s="1"/>
  <c r="X190" i="15" s="1"/>
  <c r="BO100" i="3"/>
  <c r="BN100" i="3"/>
  <c r="P190" i="15" s="1"/>
  <c r="Q190" i="15" s="1"/>
  <c r="BM100" i="3"/>
  <c r="BL100" i="3"/>
  <c r="I190" i="15" s="1"/>
  <c r="BS99" i="3"/>
  <c r="AD23" i="15" s="1"/>
  <c r="AE23" i="15" s="1"/>
  <c r="BR99" i="3"/>
  <c r="AD189" i="15" s="1"/>
  <c r="AE189" i="15" s="1"/>
  <c r="BQ99" i="3"/>
  <c r="W23" i="15" s="1"/>
  <c r="X23" i="15" s="1"/>
  <c r="BP99" i="3"/>
  <c r="W189" i="15" s="1"/>
  <c r="X189" i="15" s="1"/>
  <c r="BO99" i="3"/>
  <c r="P23" i="15" s="1"/>
  <c r="Q23" i="15" s="1"/>
  <c r="BN99" i="3"/>
  <c r="P189" i="15" s="1"/>
  <c r="Q189" i="15" s="1"/>
  <c r="BL99" i="3"/>
  <c r="I189" i="15" s="1"/>
  <c r="BS98" i="3"/>
  <c r="BR98" i="3"/>
  <c r="AD111" i="15" s="1"/>
  <c r="AE111" i="15" s="1"/>
  <c r="BQ98" i="3"/>
  <c r="BP98" i="3"/>
  <c r="W111" i="15" s="1"/>
  <c r="X111" i="15" s="1"/>
  <c r="BO98" i="3"/>
  <c r="BN98" i="3"/>
  <c r="P111" i="15" s="1"/>
  <c r="Q111" i="15" s="1"/>
  <c r="BM98" i="3"/>
  <c r="BL98" i="3"/>
  <c r="I111" i="15" s="1"/>
  <c r="BS97" i="3"/>
  <c r="BR97" i="3"/>
  <c r="AD110" i="15" s="1"/>
  <c r="AE110" i="15" s="1"/>
  <c r="BQ97" i="3"/>
  <c r="BP97" i="3"/>
  <c r="W110" i="15" s="1"/>
  <c r="X110" i="15" s="1"/>
  <c r="BO97" i="3"/>
  <c r="BN97" i="3"/>
  <c r="P110" i="15" s="1"/>
  <c r="Q110" i="15" s="1"/>
  <c r="BM97" i="3"/>
  <c r="BL97" i="3"/>
  <c r="I110" i="15" s="1"/>
  <c r="BS96" i="3"/>
  <c r="BR96" i="3"/>
  <c r="AD109" i="15" s="1"/>
  <c r="AE109" i="15" s="1"/>
  <c r="BQ96" i="3"/>
  <c r="BP96" i="3"/>
  <c r="W109" i="15" s="1"/>
  <c r="X109" i="15" s="1"/>
  <c r="BO96" i="3"/>
  <c r="BN96" i="3"/>
  <c r="P109" i="15" s="1"/>
  <c r="Q109" i="15" s="1"/>
  <c r="BM96" i="3"/>
  <c r="BL96" i="3"/>
  <c r="I109" i="15" s="1"/>
  <c r="BS95" i="3"/>
  <c r="BR95" i="3"/>
  <c r="AD108" i="15" s="1"/>
  <c r="BQ95" i="3"/>
  <c r="BP95" i="3"/>
  <c r="W108" i="15" s="1"/>
  <c r="BO95" i="3"/>
  <c r="BN95" i="3"/>
  <c r="P108" i="15" s="1"/>
  <c r="BM95" i="3"/>
  <c r="BL95" i="3"/>
  <c r="I108" i="15" s="1"/>
  <c r="BS94" i="3"/>
  <c r="AD17" i="15" s="1"/>
  <c r="AE17" i="15" s="1"/>
  <c r="BR94" i="3"/>
  <c r="BQ94" i="3"/>
  <c r="W17" i="15" s="1"/>
  <c r="X17" i="15" s="1"/>
  <c r="BP94" i="3"/>
  <c r="BO94" i="3"/>
  <c r="P17" i="15" s="1"/>
  <c r="Q17" i="15" s="1"/>
  <c r="BN94" i="3"/>
  <c r="BL94" i="3"/>
  <c r="BS93" i="3"/>
  <c r="AD16" i="15" s="1"/>
  <c r="AE16" i="15" s="1"/>
  <c r="BR93" i="3"/>
  <c r="BQ93" i="3"/>
  <c r="W16" i="15" s="1"/>
  <c r="X16" i="15" s="1"/>
  <c r="BP93" i="3"/>
  <c r="BO93" i="3"/>
  <c r="P16" i="15" s="1"/>
  <c r="Q16" i="15" s="1"/>
  <c r="BS92" i="3"/>
  <c r="AD15" i="15" s="1"/>
  <c r="BR92" i="3"/>
  <c r="BQ92" i="3"/>
  <c r="W15" i="15" s="1"/>
  <c r="BP92" i="3"/>
  <c r="BO92" i="3"/>
  <c r="P15" i="15" s="1"/>
  <c r="BM92" i="3"/>
  <c r="I15" i="15" s="1"/>
  <c r="BS91" i="3"/>
  <c r="BR91" i="3"/>
  <c r="AD188" i="15" s="1"/>
  <c r="AE188" i="15" s="1"/>
  <c r="BQ91" i="3"/>
  <c r="BP91" i="3"/>
  <c r="W188" i="15" s="1"/>
  <c r="BO91" i="3"/>
  <c r="BN91" i="3"/>
  <c r="P188" i="15" s="1"/>
  <c r="BM91" i="3"/>
  <c r="BL91" i="3"/>
  <c r="I188" i="15" s="1"/>
  <c r="BS90" i="3"/>
  <c r="BR90" i="3"/>
  <c r="AD187" i="15" s="1"/>
  <c r="BQ90" i="3"/>
  <c r="BP90" i="3"/>
  <c r="W187" i="15" s="1"/>
  <c r="BO90" i="3"/>
  <c r="BN90" i="3"/>
  <c r="P187" i="15" s="1"/>
  <c r="Q187" i="15" s="1"/>
  <c r="BM90" i="3"/>
  <c r="BL90" i="3"/>
  <c r="I187" i="15" s="1"/>
  <c r="AD72" i="15"/>
  <c r="AE72" i="15" s="1"/>
  <c r="W72" i="15"/>
  <c r="X72" i="15" s="1"/>
  <c r="I72" i="15"/>
  <c r="AD71" i="15"/>
  <c r="AE71" i="15" s="1"/>
  <c r="W71" i="15"/>
  <c r="X71" i="15" s="1"/>
  <c r="I71" i="15"/>
  <c r="AD70" i="15"/>
  <c r="AE70" i="15" s="1"/>
  <c r="W70" i="15"/>
  <c r="X70" i="15" s="1"/>
  <c r="I70" i="15"/>
  <c r="AD69" i="15"/>
  <c r="AE69" i="15" s="1"/>
  <c r="W69" i="15"/>
  <c r="X69" i="15" s="1"/>
  <c r="I69" i="15"/>
  <c r="AD76" i="15"/>
  <c r="AE76" i="15" s="1"/>
  <c r="AD209" i="15"/>
  <c r="AE209" i="15" s="1"/>
  <c r="W76" i="15"/>
  <c r="X76" i="15" s="1"/>
  <c r="W209" i="15"/>
  <c r="X209" i="15" s="1"/>
  <c r="P76" i="15"/>
  <c r="Q76" i="15" s="1"/>
  <c r="P209" i="15"/>
  <c r="Q209" i="15" s="1"/>
  <c r="I76" i="15"/>
  <c r="I209" i="15"/>
  <c r="AD208" i="15"/>
  <c r="AE208" i="15" s="1"/>
  <c r="P208" i="15"/>
  <c r="Q208" i="15" s="1"/>
  <c r="AD68" i="15"/>
  <c r="AE68" i="15" s="1"/>
  <c r="W68" i="15"/>
  <c r="X68" i="15" s="1"/>
  <c r="I68" i="15"/>
  <c r="AD67" i="15"/>
  <c r="AE67" i="15" s="1"/>
  <c r="W67" i="15"/>
  <c r="X67" i="15" s="1"/>
  <c r="I67" i="15"/>
  <c r="BS79" i="3"/>
  <c r="BR79" i="3"/>
  <c r="AD207" i="15" s="1"/>
  <c r="AE207" i="15" s="1"/>
  <c r="BQ79" i="3"/>
  <c r="BP79" i="3"/>
  <c r="W207" i="15" s="1"/>
  <c r="X207" i="15" s="1"/>
  <c r="BO79" i="3"/>
  <c r="BN79" i="3"/>
  <c r="P207" i="15" s="1"/>
  <c r="Q207" i="15" s="1"/>
  <c r="BM79" i="3"/>
  <c r="BL79" i="3"/>
  <c r="I207" i="15" s="1"/>
  <c r="BS78" i="3"/>
  <c r="BR78" i="3"/>
  <c r="AD186" i="15" s="1"/>
  <c r="AE186" i="15" s="1"/>
  <c r="BQ78" i="3"/>
  <c r="BP78" i="3"/>
  <c r="W186" i="15" s="1"/>
  <c r="BO78" i="3"/>
  <c r="BN78" i="3"/>
  <c r="P186" i="15" s="1"/>
  <c r="BM78" i="3"/>
  <c r="BL78" i="3"/>
  <c r="I186" i="15" s="1"/>
  <c r="BS77" i="3"/>
  <c r="BR77" i="3"/>
  <c r="AD185" i="15" s="1"/>
  <c r="AE185" i="15" s="1"/>
  <c r="BQ77" i="3"/>
  <c r="BP77" i="3"/>
  <c r="W185" i="15" s="1"/>
  <c r="X185" i="15" s="1"/>
  <c r="BO77" i="3"/>
  <c r="BN77" i="3"/>
  <c r="P185" i="15" s="1"/>
  <c r="Q185" i="15" s="1"/>
  <c r="BM77" i="3"/>
  <c r="BL77" i="3"/>
  <c r="I185" i="15" s="1"/>
  <c r="BS76" i="3"/>
  <c r="BR76" i="3"/>
  <c r="AD172" i="15" s="1"/>
  <c r="AE172" i="15" s="1"/>
  <c r="BQ76" i="3"/>
  <c r="BP76" i="3"/>
  <c r="W172" i="15" s="1"/>
  <c r="X172" i="15" s="1"/>
  <c r="BO76" i="3"/>
  <c r="BN76" i="3"/>
  <c r="P172" i="15" s="1"/>
  <c r="Q172" i="15" s="1"/>
  <c r="BM76" i="3"/>
  <c r="BL76" i="3"/>
  <c r="I172" i="15" s="1"/>
  <c r="BS75" i="3"/>
  <c r="BR75" i="3"/>
  <c r="AD145" i="15" s="1"/>
  <c r="AE145" i="15" s="1"/>
  <c r="BQ75" i="3"/>
  <c r="BP75" i="3"/>
  <c r="W145" i="15" s="1"/>
  <c r="X145" i="15" s="1"/>
  <c r="BO75" i="3"/>
  <c r="BN75" i="3"/>
  <c r="P145" i="15" s="1"/>
  <c r="Q145" i="15" s="1"/>
  <c r="BM75" i="3"/>
  <c r="BL75" i="3"/>
  <c r="I145" i="15" s="1"/>
  <c r="BS74" i="3"/>
  <c r="BR74" i="3"/>
  <c r="AD144" i="15" s="1"/>
  <c r="AE144" i="15" s="1"/>
  <c r="BQ74" i="3"/>
  <c r="BP74" i="3"/>
  <c r="W144" i="15" s="1"/>
  <c r="X144" i="15" s="1"/>
  <c r="BO74" i="3"/>
  <c r="BN74" i="3"/>
  <c r="P144" i="15" s="1"/>
  <c r="Q144" i="15" s="1"/>
  <c r="BL74" i="3"/>
  <c r="I144" i="15" s="1"/>
  <c r="BS73" i="3"/>
  <c r="BR73" i="3"/>
  <c r="AD211" i="15" s="1"/>
  <c r="AE211" i="15" s="1"/>
  <c r="BQ73" i="3"/>
  <c r="BP73" i="3"/>
  <c r="W211" i="15" s="1"/>
  <c r="X211" i="15" s="1"/>
  <c r="BO73" i="3"/>
  <c r="BN73" i="3"/>
  <c r="P211" i="15" s="1"/>
  <c r="Q211" i="15" s="1"/>
  <c r="BL73" i="3"/>
  <c r="I211" i="15" s="1"/>
  <c r="BS72" i="3"/>
  <c r="BR72" i="3"/>
  <c r="AD143" i="15" s="1"/>
  <c r="AE143" i="15" s="1"/>
  <c r="BQ72" i="3"/>
  <c r="BP72" i="3"/>
  <c r="W143" i="15" s="1"/>
  <c r="X143" i="15" s="1"/>
  <c r="BO72" i="3"/>
  <c r="BN72" i="3"/>
  <c r="P143" i="15" s="1"/>
  <c r="Q143" i="15" s="1"/>
  <c r="BM72" i="3"/>
  <c r="BL72" i="3"/>
  <c r="I143" i="15" s="1"/>
  <c r="BS71" i="3"/>
  <c r="BR71" i="3"/>
  <c r="AD205" i="15" s="1"/>
  <c r="AE205" i="15" s="1"/>
  <c r="BQ71" i="3"/>
  <c r="BP71" i="3"/>
  <c r="W205" i="15" s="1"/>
  <c r="X205" i="15" s="1"/>
  <c r="X206" i="15" s="1"/>
  <c r="BO71" i="3"/>
  <c r="BN71" i="3"/>
  <c r="P205" i="15" s="1"/>
  <c r="Q205" i="15" s="1"/>
  <c r="BM71" i="3"/>
  <c r="BL71" i="3"/>
  <c r="I205" i="15" s="1"/>
  <c r="BS70" i="3"/>
  <c r="BR70" i="3"/>
  <c r="AD142" i="15" s="1"/>
  <c r="AE142" i="15" s="1"/>
  <c r="BQ70" i="3"/>
  <c r="BP70" i="3"/>
  <c r="W142" i="15" s="1"/>
  <c r="X142" i="15" s="1"/>
  <c r="BO70" i="3"/>
  <c r="BN70" i="3"/>
  <c r="P142" i="15" s="1"/>
  <c r="Q142" i="15" s="1"/>
  <c r="BM70" i="3"/>
  <c r="BL70" i="3"/>
  <c r="I142" i="15" s="1"/>
  <c r="AD104" i="15"/>
  <c r="AE104" i="15" s="1"/>
  <c r="AD140" i="15"/>
  <c r="AE140" i="15" s="1"/>
  <c r="W104" i="15"/>
  <c r="X104" i="15" s="1"/>
  <c r="W140" i="15"/>
  <c r="X140" i="15" s="1"/>
  <c r="P104" i="15"/>
  <c r="Q104" i="15" s="1"/>
  <c r="P140" i="15"/>
  <c r="Q140" i="15" s="1"/>
  <c r="I140" i="15"/>
  <c r="BS67" i="3"/>
  <c r="BR67" i="3"/>
  <c r="AD139" i="15" s="1"/>
  <c r="AE139" i="15" s="1"/>
  <c r="BQ67" i="3"/>
  <c r="BP67" i="3"/>
  <c r="W139" i="15" s="1"/>
  <c r="X139" i="15" s="1"/>
  <c r="BO67" i="3"/>
  <c r="BN67" i="3"/>
  <c r="P139" i="15" s="1"/>
  <c r="Q139" i="15" s="1"/>
  <c r="BL67" i="3"/>
  <c r="I139" i="15" s="1"/>
  <c r="BS66" i="3"/>
  <c r="BR66" i="3"/>
  <c r="AD184" i="15" s="1"/>
  <c r="AE184" i="15" s="1"/>
  <c r="BQ66" i="3"/>
  <c r="BP66" i="3"/>
  <c r="W184" i="15" s="1"/>
  <c r="BO66" i="3"/>
  <c r="BN66" i="3"/>
  <c r="P184" i="15" s="1"/>
  <c r="BM66" i="3"/>
  <c r="BL66" i="3"/>
  <c r="I184" i="15" s="1"/>
  <c r="BS65" i="3"/>
  <c r="BR65" i="3"/>
  <c r="AD183" i="15" s="1"/>
  <c r="AE183" i="15" s="1"/>
  <c r="BQ65" i="3"/>
  <c r="BP65" i="3"/>
  <c r="W183" i="15" s="1"/>
  <c r="X183" i="15" s="1"/>
  <c r="BO65" i="3"/>
  <c r="BN65" i="3"/>
  <c r="P183" i="15" s="1"/>
  <c r="Q183" i="15" s="1"/>
  <c r="BM65" i="3"/>
  <c r="BL65" i="3"/>
  <c r="I183" i="15" s="1"/>
  <c r="BS64" i="3"/>
  <c r="BR64" i="3"/>
  <c r="AD171" i="15" s="1"/>
  <c r="AE171" i="15" s="1"/>
  <c r="BQ64" i="3"/>
  <c r="BP64" i="3"/>
  <c r="W171" i="15" s="1"/>
  <c r="X171" i="15" s="1"/>
  <c r="BO64" i="3"/>
  <c r="BN64" i="3"/>
  <c r="P171" i="15" s="1"/>
  <c r="Q171" i="15" s="1"/>
  <c r="BM64" i="3"/>
  <c r="BL64" i="3"/>
  <c r="I171" i="15" s="1"/>
  <c r="BS63" i="3"/>
  <c r="AD102" i="15" s="1"/>
  <c r="BR63" i="3"/>
  <c r="AD204" i="15" s="1"/>
  <c r="AE204" i="15" s="1"/>
  <c r="BQ63" i="3"/>
  <c r="W102" i="15" s="1"/>
  <c r="BP63" i="3"/>
  <c r="W204" i="15" s="1"/>
  <c r="BO63" i="3"/>
  <c r="P102" i="15" s="1"/>
  <c r="BN63" i="3"/>
  <c r="P204" i="15" s="1"/>
  <c r="Q204" i="15" s="1"/>
  <c r="BM63" i="3"/>
  <c r="I102" i="15" s="1"/>
  <c r="BL63" i="3"/>
  <c r="I204" i="15" s="1"/>
  <c r="BS62" i="3"/>
  <c r="BR62" i="3"/>
  <c r="AD138" i="15" s="1"/>
  <c r="AE138" i="15" s="1"/>
  <c r="BQ62" i="3"/>
  <c r="BP62" i="3"/>
  <c r="W138" i="15" s="1"/>
  <c r="X138" i="15" s="1"/>
  <c r="BO62" i="3"/>
  <c r="BN62" i="3"/>
  <c r="P138" i="15" s="1"/>
  <c r="Q138" i="15" s="1"/>
  <c r="BM62" i="3"/>
  <c r="BL62" i="3"/>
  <c r="I138" i="15" s="1"/>
  <c r="BS61" i="3"/>
  <c r="BR61" i="3"/>
  <c r="AD137" i="15" s="1"/>
  <c r="AE137" i="15" s="1"/>
  <c r="BQ61" i="3"/>
  <c r="BP61" i="3"/>
  <c r="W137" i="15" s="1"/>
  <c r="X137" i="15" s="1"/>
  <c r="BO61" i="3"/>
  <c r="BN61" i="3"/>
  <c r="P137" i="15" s="1"/>
  <c r="Q137" i="15" s="1"/>
  <c r="BM61" i="3"/>
  <c r="BL61" i="3"/>
  <c r="I137" i="15" s="1"/>
  <c r="BS60" i="3"/>
  <c r="BR60" i="3"/>
  <c r="AD136" i="15" s="1"/>
  <c r="AE136" i="15" s="1"/>
  <c r="BQ60" i="3"/>
  <c r="BP60" i="3"/>
  <c r="W136" i="15" s="1"/>
  <c r="X136" i="15" s="1"/>
  <c r="BO60" i="3"/>
  <c r="BN60" i="3"/>
  <c r="P136" i="15" s="1"/>
  <c r="Q136" i="15" s="1"/>
  <c r="BM60" i="3"/>
  <c r="BL60" i="3"/>
  <c r="I136" i="15" s="1"/>
  <c r="BS59" i="3"/>
  <c r="BR59" i="3"/>
  <c r="AD135" i="15" s="1"/>
  <c r="AE135" i="15" s="1"/>
  <c r="BQ59" i="3"/>
  <c r="BP59" i="3"/>
  <c r="W135" i="15" s="1"/>
  <c r="X135" i="15" s="1"/>
  <c r="BO59" i="3"/>
  <c r="BN59" i="3"/>
  <c r="P135" i="15" s="1"/>
  <c r="Q135" i="15" s="1"/>
  <c r="BM59" i="3"/>
  <c r="BL59" i="3"/>
  <c r="I135" i="15" s="1"/>
  <c r="BS58" i="3"/>
  <c r="BR58" i="3"/>
  <c r="AD134" i="15" s="1"/>
  <c r="AE134" i="15" s="1"/>
  <c r="BQ58" i="3"/>
  <c r="BP58" i="3"/>
  <c r="W134" i="15" s="1"/>
  <c r="BO58" i="3"/>
  <c r="BN58" i="3"/>
  <c r="P134" i="15" s="1"/>
  <c r="BM58" i="3"/>
  <c r="BL58" i="3"/>
  <c r="I134" i="15" s="1"/>
  <c r="BS57" i="3"/>
  <c r="BR57" i="3"/>
  <c r="AD133" i="15" s="1"/>
  <c r="AE133" i="15" s="1"/>
  <c r="BQ57" i="3"/>
  <c r="BP57" i="3"/>
  <c r="W133" i="15" s="1"/>
  <c r="X133" i="15" s="1"/>
  <c r="BO57" i="3"/>
  <c r="BN57" i="3"/>
  <c r="P133" i="15" s="1"/>
  <c r="Q133" i="15" s="1"/>
  <c r="BM57" i="3"/>
  <c r="BL57" i="3"/>
  <c r="I133" i="15" s="1"/>
  <c r="BS56" i="3"/>
  <c r="BR56" i="3"/>
  <c r="AD132" i="15" s="1"/>
  <c r="AE132" i="15" s="1"/>
  <c r="BQ56" i="3"/>
  <c r="BP56" i="3"/>
  <c r="W132" i="15" s="1"/>
  <c r="X132" i="15" s="1"/>
  <c r="BO56" i="3"/>
  <c r="BN56" i="3"/>
  <c r="P132" i="15" s="1"/>
  <c r="Q132" i="15" s="1"/>
  <c r="BM56" i="3"/>
  <c r="BL56" i="3"/>
  <c r="I132" i="15" s="1"/>
  <c r="BS55" i="3"/>
  <c r="BR55" i="3"/>
  <c r="AD131" i="15" s="1"/>
  <c r="AE131" i="15" s="1"/>
  <c r="BQ55" i="3"/>
  <c r="BP55" i="3"/>
  <c r="W131" i="15" s="1"/>
  <c r="X131" i="15" s="1"/>
  <c r="BO55" i="3"/>
  <c r="BN55" i="3"/>
  <c r="P131" i="15" s="1"/>
  <c r="Q131" i="15" s="1"/>
  <c r="BM55" i="3"/>
  <c r="BL55" i="3"/>
  <c r="I131" i="15" s="1"/>
  <c r="BR54" i="3"/>
  <c r="AD130" i="15" s="1"/>
  <c r="AE130" i="15" s="1"/>
  <c r="BP54" i="3"/>
  <c r="W130" i="15" s="1"/>
  <c r="X130" i="15" s="1"/>
  <c r="BN54" i="3"/>
  <c r="P130" i="15" s="1"/>
  <c r="Q130" i="15" s="1"/>
  <c r="BL54" i="3"/>
  <c r="I130" i="15" s="1"/>
  <c r="BS53" i="3"/>
  <c r="AD101" i="15" s="1"/>
  <c r="AE101" i="15" s="1"/>
  <c r="BR53" i="3"/>
  <c r="AD129" i="15" s="1"/>
  <c r="AE129" i="15" s="1"/>
  <c r="BQ53" i="3"/>
  <c r="W101" i="15" s="1"/>
  <c r="X101" i="15" s="1"/>
  <c r="BP53" i="3"/>
  <c r="W129" i="15" s="1"/>
  <c r="X129" i="15" s="1"/>
  <c r="BO53" i="3"/>
  <c r="P101" i="15" s="1"/>
  <c r="Q101" i="15" s="1"/>
  <c r="BN53" i="3"/>
  <c r="P129" i="15" s="1"/>
  <c r="Q129" i="15" s="1"/>
  <c r="BM53" i="3"/>
  <c r="I101" i="15" s="1"/>
  <c r="BL53" i="3"/>
  <c r="I129" i="15" s="1"/>
  <c r="BR52" i="3"/>
  <c r="AD128" i="15" s="1"/>
  <c r="AE128" i="15" s="1"/>
  <c r="BP52" i="3"/>
  <c r="W128" i="15" s="1"/>
  <c r="X128" i="15" s="1"/>
  <c r="BN52" i="3"/>
  <c r="P128" i="15" s="1"/>
  <c r="Q128" i="15" s="1"/>
  <c r="BL52" i="3"/>
  <c r="I128" i="15" s="1"/>
  <c r="BS51" i="3"/>
  <c r="BR51" i="3"/>
  <c r="AD127" i="15" s="1"/>
  <c r="AE127" i="15" s="1"/>
  <c r="BQ51" i="3"/>
  <c r="BP51" i="3"/>
  <c r="W127" i="15" s="1"/>
  <c r="X127" i="15" s="1"/>
  <c r="BO51" i="3"/>
  <c r="BN51" i="3"/>
  <c r="P127" i="15" s="1"/>
  <c r="Q127" i="15" s="1"/>
  <c r="BM51" i="3"/>
  <c r="BL51" i="3"/>
  <c r="I127" i="15" s="1"/>
  <c r="BS50" i="3"/>
  <c r="BR50" i="3"/>
  <c r="AD126" i="15" s="1"/>
  <c r="AE126" i="15" s="1"/>
  <c r="BQ50" i="3"/>
  <c r="BP50" i="3"/>
  <c r="W126" i="15" s="1"/>
  <c r="X126" i="15" s="1"/>
  <c r="BO50" i="3"/>
  <c r="BN50" i="3"/>
  <c r="P126" i="15" s="1"/>
  <c r="Q126" i="15" s="1"/>
  <c r="BM50" i="3"/>
  <c r="BL50" i="3"/>
  <c r="I126" i="15" s="1"/>
  <c r="BS49" i="3"/>
  <c r="BR49" i="3"/>
  <c r="AD125" i="15" s="1"/>
  <c r="AE125" i="15" s="1"/>
  <c r="BQ49" i="3"/>
  <c r="BP49" i="3"/>
  <c r="W125" i="15" s="1"/>
  <c r="X125" i="15" s="1"/>
  <c r="BO49" i="3"/>
  <c r="BN49" i="3"/>
  <c r="P125" i="15" s="1"/>
  <c r="Q125" i="15" s="1"/>
  <c r="BM49" i="3"/>
  <c r="BL49" i="3"/>
  <c r="I125" i="15" s="1"/>
  <c r="BS48" i="3"/>
  <c r="AD99" i="15" s="1"/>
  <c r="AE99" i="15" s="1"/>
  <c r="BR48" i="3"/>
  <c r="AD124" i="15" s="1"/>
  <c r="AE124" i="15" s="1"/>
  <c r="BQ48" i="3"/>
  <c r="W99" i="15" s="1"/>
  <c r="X99" i="15" s="1"/>
  <c r="BP48" i="3"/>
  <c r="W124" i="15" s="1"/>
  <c r="X124" i="15" s="1"/>
  <c r="BO48" i="3"/>
  <c r="P99" i="15" s="1"/>
  <c r="Q99" i="15" s="1"/>
  <c r="BN48" i="3"/>
  <c r="P124" i="15" s="1"/>
  <c r="Q124" i="15" s="1"/>
  <c r="BM48" i="3"/>
  <c r="I99" i="15" s="1"/>
  <c r="BL48" i="3"/>
  <c r="I124" i="15" s="1"/>
  <c r="BS47" i="3"/>
  <c r="BR47" i="3"/>
  <c r="AD182" i="15" s="1"/>
  <c r="AE182" i="15" s="1"/>
  <c r="BQ47" i="3"/>
  <c r="BP47" i="3"/>
  <c r="W182" i="15" s="1"/>
  <c r="BO47" i="3"/>
  <c r="BN47" i="3"/>
  <c r="P182" i="15" s="1"/>
  <c r="BM47" i="3"/>
  <c r="BL47" i="3"/>
  <c r="I182" i="15" s="1"/>
  <c r="BS46" i="3"/>
  <c r="BR46" i="3"/>
  <c r="AD181" i="15" s="1"/>
  <c r="AE181" i="15" s="1"/>
  <c r="BQ46" i="3"/>
  <c r="BP46" i="3"/>
  <c r="W181" i="15" s="1"/>
  <c r="X181" i="15" s="1"/>
  <c r="BO46" i="3"/>
  <c r="BN46" i="3"/>
  <c r="P181" i="15" s="1"/>
  <c r="Q181" i="15" s="1"/>
  <c r="BM46" i="3"/>
  <c r="BL46" i="3"/>
  <c r="I181" i="15" s="1"/>
  <c r="BS45" i="3"/>
  <c r="BR45" i="3"/>
  <c r="AD170" i="15" s="1"/>
  <c r="AE170" i="15" s="1"/>
  <c r="BQ45" i="3"/>
  <c r="BP45" i="3"/>
  <c r="W170" i="15" s="1"/>
  <c r="X170" i="15" s="1"/>
  <c r="BO45" i="3"/>
  <c r="BN45" i="3"/>
  <c r="P170" i="15" s="1"/>
  <c r="Q170" i="15" s="1"/>
  <c r="BM45" i="3"/>
  <c r="BL45" i="3"/>
  <c r="I170" i="15" s="1"/>
  <c r="BS44" i="3"/>
  <c r="AD63" i="15" s="1"/>
  <c r="AE63" i="15" s="1"/>
  <c r="BR44" i="3"/>
  <c r="BQ44" i="3"/>
  <c r="W63" i="15" s="1"/>
  <c r="X63" i="15" s="1"/>
  <c r="BP44" i="3"/>
  <c r="BO44" i="3"/>
  <c r="P63" i="15" s="1"/>
  <c r="Q63" i="15" s="1"/>
  <c r="BN44" i="3"/>
  <c r="BL44" i="3"/>
  <c r="BS43" i="3"/>
  <c r="BR43" i="3"/>
  <c r="AD154" i="15" s="1"/>
  <c r="AE154" i="15" s="1"/>
  <c r="BQ43" i="3"/>
  <c r="BP43" i="3"/>
  <c r="W154" i="15" s="1"/>
  <c r="X154" i="15" s="1"/>
  <c r="BO43" i="3"/>
  <c r="BN43" i="3"/>
  <c r="P154" i="15" s="1"/>
  <c r="Q154" i="15" s="1"/>
  <c r="BM43" i="3"/>
  <c r="BL43" i="3"/>
  <c r="I154" i="15" s="1"/>
  <c r="BS42" i="3"/>
  <c r="AD64" i="15" s="1"/>
  <c r="AE64" i="15" s="1"/>
  <c r="BR42" i="3"/>
  <c r="AD153" i="15" s="1"/>
  <c r="AE153" i="15" s="1"/>
  <c r="BQ42" i="3"/>
  <c r="W64" i="15" s="1"/>
  <c r="X64" i="15" s="1"/>
  <c r="BP42" i="3"/>
  <c r="W153" i="15" s="1"/>
  <c r="X153" i="15" s="1"/>
  <c r="BO42" i="3"/>
  <c r="P64" i="15" s="1"/>
  <c r="Q64" i="15" s="1"/>
  <c r="BN42" i="3"/>
  <c r="P153" i="15" s="1"/>
  <c r="Q153" i="15" s="1"/>
  <c r="BM42" i="3"/>
  <c r="I64" i="15" s="1"/>
  <c r="BL42" i="3"/>
  <c r="I153" i="15" s="1"/>
  <c r="BS41" i="3"/>
  <c r="AD62" i="15" s="1"/>
  <c r="AE62" i="15" s="1"/>
  <c r="BR41" i="3"/>
  <c r="AD152" i="15" s="1"/>
  <c r="AE152" i="15" s="1"/>
  <c r="BQ41" i="3"/>
  <c r="W62" i="15" s="1"/>
  <c r="X62" i="15" s="1"/>
  <c r="BP41" i="3"/>
  <c r="W152" i="15" s="1"/>
  <c r="X152" i="15" s="1"/>
  <c r="BO41" i="3"/>
  <c r="P62" i="15" s="1"/>
  <c r="Q62" i="15" s="1"/>
  <c r="BN41" i="3"/>
  <c r="P152" i="15" s="1"/>
  <c r="Q152" i="15" s="1"/>
  <c r="BM41" i="3"/>
  <c r="I62" i="15" s="1"/>
  <c r="BL41" i="3"/>
  <c r="I152" i="15" s="1"/>
  <c r="BS40" i="3"/>
  <c r="AD61" i="15" s="1"/>
  <c r="AE61" i="15" s="1"/>
  <c r="BR40" i="3"/>
  <c r="AD151" i="15" s="1"/>
  <c r="AE151" i="15" s="1"/>
  <c r="BQ40" i="3"/>
  <c r="W61" i="15" s="1"/>
  <c r="X61" i="15" s="1"/>
  <c r="BP40" i="3"/>
  <c r="W151" i="15" s="1"/>
  <c r="X151" i="15" s="1"/>
  <c r="BO40" i="3"/>
  <c r="P61" i="15" s="1"/>
  <c r="Q61" i="15" s="1"/>
  <c r="BN40" i="3"/>
  <c r="P151" i="15" s="1"/>
  <c r="Q151" i="15" s="1"/>
  <c r="BM40" i="3"/>
  <c r="I61" i="15" s="1"/>
  <c r="BL40" i="3"/>
  <c r="I151" i="15" s="1"/>
  <c r="BS39" i="3"/>
  <c r="BR39" i="3"/>
  <c r="AD150" i="15" s="1"/>
  <c r="AE150" i="15" s="1"/>
  <c r="BQ39" i="3"/>
  <c r="BP39" i="3"/>
  <c r="W150" i="15" s="1"/>
  <c r="X150" i="15" s="1"/>
  <c r="BO39" i="3"/>
  <c r="BN39" i="3"/>
  <c r="P150" i="15" s="1"/>
  <c r="Q150" i="15" s="1"/>
  <c r="BM39" i="3"/>
  <c r="BL39" i="3"/>
  <c r="I150" i="15" s="1"/>
  <c r="BS38" i="3"/>
  <c r="BR38" i="3"/>
  <c r="AD149" i="15" s="1"/>
  <c r="AE149" i="15" s="1"/>
  <c r="BQ38" i="3"/>
  <c r="BP38" i="3"/>
  <c r="W149" i="15" s="1"/>
  <c r="X149" i="15" s="1"/>
  <c r="BO38" i="3"/>
  <c r="BN38" i="3"/>
  <c r="P149" i="15" s="1"/>
  <c r="Q149" i="15" s="1"/>
  <c r="BM38" i="3"/>
  <c r="BL38" i="3"/>
  <c r="I149" i="15" s="1"/>
  <c r="BS37" i="3"/>
  <c r="AD60" i="15" s="1"/>
  <c r="AE60" i="15" s="1"/>
  <c r="BR37" i="3"/>
  <c r="AD148" i="15" s="1"/>
  <c r="AE148" i="15" s="1"/>
  <c r="BQ37" i="3"/>
  <c r="W60" i="15" s="1"/>
  <c r="X60" i="15" s="1"/>
  <c r="BP37" i="3"/>
  <c r="W148" i="15" s="1"/>
  <c r="X148" i="15" s="1"/>
  <c r="BO37" i="3"/>
  <c r="P60" i="15" s="1"/>
  <c r="Q60" i="15" s="1"/>
  <c r="BN37" i="3"/>
  <c r="P148" i="15" s="1"/>
  <c r="Q148" i="15" s="1"/>
  <c r="BM37" i="3"/>
  <c r="I60" i="15" s="1"/>
  <c r="BL37" i="3"/>
  <c r="I148" i="15" s="1"/>
  <c r="BS36" i="3"/>
  <c r="AD59" i="15" s="1"/>
  <c r="AE59" i="15" s="1"/>
  <c r="BR36" i="3"/>
  <c r="AD147" i="15" s="1"/>
  <c r="AE147" i="15" s="1"/>
  <c r="AE155" i="15" s="1"/>
  <c r="BQ36" i="3"/>
  <c r="W59" i="15" s="1"/>
  <c r="X59" i="15" s="1"/>
  <c r="BP36" i="3"/>
  <c r="W147" i="15" s="1"/>
  <c r="X147" i="15" s="1"/>
  <c r="X155" i="15" s="1"/>
  <c r="BO36" i="3"/>
  <c r="P59" i="15" s="1"/>
  <c r="Q59" i="15" s="1"/>
  <c r="BN36" i="3"/>
  <c r="P147" i="15" s="1"/>
  <c r="BM36" i="3"/>
  <c r="I59" i="15" s="1"/>
  <c r="BL36" i="3"/>
  <c r="I147" i="15" s="1"/>
  <c r="BS35" i="3"/>
  <c r="AD58" i="15" s="1"/>
  <c r="AE58" i="15" s="1"/>
  <c r="BR35" i="3"/>
  <c r="BQ35" i="3"/>
  <c r="W58" i="15" s="1"/>
  <c r="X58" i="15" s="1"/>
  <c r="BP35" i="3"/>
  <c r="BO35" i="3"/>
  <c r="P58" i="15" s="1"/>
  <c r="Q58" i="15" s="1"/>
  <c r="BN35" i="3"/>
  <c r="BM35" i="3"/>
  <c r="I58" i="15" s="1"/>
  <c r="BL35" i="3"/>
  <c r="BS34" i="3"/>
  <c r="AD57" i="15" s="1"/>
  <c r="AE57" i="15" s="1"/>
  <c r="BR34" i="3"/>
  <c r="BQ34" i="3"/>
  <c r="W57" i="15" s="1"/>
  <c r="X57" i="15" s="1"/>
  <c r="BP34" i="3"/>
  <c r="BO34" i="3"/>
  <c r="P57" i="15" s="1"/>
  <c r="Q57" i="15" s="1"/>
  <c r="BN34" i="3"/>
  <c r="BM34" i="3"/>
  <c r="I57" i="15" s="1"/>
  <c r="BL34" i="3"/>
  <c r="BQ33" i="3"/>
  <c r="W56" i="15" s="1"/>
  <c r="X56" i="15" s="1"/>
  <c r="BS32" i="3"/>
  <c r="AD55" i="15" s="1"/>
  <c r="AE55" i="15" s="1"/>
  <c r="BR32" i="3"/>
  <c r="BQ32" i="3"/>
  <c r="W55" i="15" s="1"/>
  <c r="X55" i="15" s="1"/>
  <c r="BP32" i="3"/>
  <c r="BO32" i="3"/>
  <c r="P55" i="15" s="1"/>
  <c r="Q55" i="15" s="1"/>
  <c r="BN32" i="3"/>
  <c r="BM32" i="3"/>
  <c r="I55" i="15" s="1"/>
  <c r="BL32" i="3"/>
  <c r="BS31" i="3"/>
  <c r="AD54" i="15" s="1"/>
  <c r="AE54" i="15" s="1"/>
  <c r="BR31" i="3"/>
  <c r="BQ31" i="3"/>
  <c r="W54" i="15" s="1"/>
  <c r="X54" i="15" s="1"/>
  <c r="BP31" i="3"/>
  <c r="BO31" i="3"/>
  <c r="P54" i="15" s="1"/>
  <c r="Q54" i="15" s="1"/>
  <c r="BN31" i="3"/>
  <c r="BM31" i="3"/>
  <c r="I54" i="15" s="1"/>
  <c r="BL31" i="3"/>
  <c r="BS30" i="3"/>
  <c r="AD53" i="15" s="1"/>
  <c r="AE53" i="15" s="1"/>
  <c r="BR30" i="3"/>
  <c r="BQ30" i="3"/>
  <c r="W53" i="15" s="1"/>
  <c r="X53" i="15" s="1"/>
  <c r="BP30" i="3"/>
  <c r="BO30" i="3"/>
  <c r="P53" i="15" s="1"/>
  <c r="Q53" i="15" s="1"/>
  <c r="BN30" i="3"/>
  <c r="BM30" i="3"/>
  <c r="I53" i="15" s="1"/>
  <c r="BL30" i="3"/>
  <c r="BS29" i="3"/>
  <c r="AD52" i="15" s="1"/>
  <c r="AE52" i="15" s="1"/>
  <c r="BR29" i="3"/>
  <c r="BQ29" i="3"/>
  <c r="W52" i="15" s="1"/>
  <c r="X52" i="15" s="1"/>
  <c r="BP29" i="3"/>
  <c r="BO29" i="3"/>
  <c r="P52" i="15" s="1"/>
  <c r="Q52" i="15" s="1"/>
  <c r="BN29" i="3"/>
  <c r="BM29" i="3"/>
  <c r="I52" i="15" s="1"/>
  <c r="BL29" i="3"/>
  <c r="BS28" i="3"/>
  <c r="AD51" i="15" s="1"/>
  <c r="AE51" i="15" s="1"/>
  <c r="BR28" i="3"/>
  <c r="BQ28" i="3"/>
  <c r="W51" i="15" s="1"/>
  <c r="X51" i="15" s="1"/>
  <c r="BP28" i="3"/>
  <c r="BO28" i="3"/>
  <c r="P51" i="15" s="1"/>
  <c r="Q51" i="15" s="1"/>
  <c r="BN28" i="3"/>
  <c r="BM28" i="3"/>
  <c r="I51" i="15" s="1"/>
  <c r="BL28" i="3"/>
  <c r="BS27" i="3"/>
  <c r="AD50" i="15" s="1"/>
  <c r="AE50" i="15" s="1"/>
  <c r="BR27" i="3"/>
  <c r="BQ27" i="3"/>
  <c r="W50" i="15" s="1"/>
  <c r="X50" i="15" s="1"/>
  <c r="BP27" i="3"/>
  <c r="BO27" i="3"/>
  <c r="P50" i="15" s="1"/>
  <c r="Q50" i="15" s="1"/>
  <c r="BN27" i="3"/>
  <c r="BM27" i="3"/>
  <c r="I50" i="15" s="1"/>
  <c r="BL27" i="3"/>
  <c r="BS26" i="3"/>
  <c r="AD49" i="15" s="1"/>
  <c r="AE49" i="15" s="1"/>
  <c r="BR26" i="3"/>
  <c r="BQ26" i="3"/>
  <c r="W49" i="15" s="1"/>
  <c r="X49" i="15" s="1"/>
  <c r="BP26" i="3"/>
  <c r="BO26" i="3"/>
  <c r="P49" i="15" s="1"/>
  <c r="Q49" i="15" s="1"/>
  <c r="BN26" i="3"/>
  <c r="BM26" i="3"/>
  <c r="I49" i="15" s="1"/>
  <c r="BL26" i="3"/>
  <c r="BS25" i="3"/>
  <c r="AD48" i="15" s="1"/>
  <c r="AE48" i="15" s="1"/>
  <c r="BR25" i="3"/>
  <c r="BQ25" i="3"/>
  <c r="W48" i="15" s="1"/>
  <c r="X48" i="15" s="1"/>
  <c r="BP25" i="3"/>
  <c r="BO25" i="3"/>
  <c r="P48" i="15" s="1"/>
  <c r="Q48" i="15" s="1"/>
  <c r="BN25" i="3"/>
  <c r="BM25" i="3"/>
  <c r="I48" i="15" s="1"/>
  <c r="BL25" i="3"/>
  <c r="BS24" i="3"/>
  <c r="AD47" i="15" s="1"/>
  <c r="AE47" i="15" s="1"/>
  <c r="BR24" i="3"/>
  <c r="BQ24" i="3"/>
  <c r="W47" i="15" s="1"/>
  <c r="X47" i="15" s="1"/>
  <c r="BP24" i="3"/>
  <c r="BO24" i="3"/>
  <c r="P47" i="15" s="1"/>
  <c r="Q47" i="15" s="1"/>
  <c r="BN24" i="3"/>
  <c r="BM24" i="3"/>
  <c r="I47" i="15" s="1"/>
  <c r="BL24" i="3"/>
  <c r="BS23" i="3"/>
  <c r="AD46" i="15" s="1"/>
  <c r="AE46" i="15" s="1"/>
  <c r="BR23" i="3"/>
  <c r="BQ23" i="3"/>
  <c r="W46" i="15" s="1"/>
  <c r="X46" i="15" s="1"/>
  <c r="BP23" i="3"/>
  <c r="BO23" i="3"/>
  <c r="P46" i="15" s="1"/>
  <c r="Q46" i="15" s="1"/>
  <c r="BN23" i="3"/>
  <c r="BM23" i="3"/>
  <c r="I46" i="15" s="1"/>
  <c r="BL23" i="3"/>
  <c r="BS22" i="3"/>
  <c r="AD45" i="15" s="1"/>
  <c r="AE45" i="15" s="1"/>
  <c r="BR22" i="3"/>
  <c r="BQ22" i="3"/>
  <c r="W45" i="15" s="1"/>
  <c r="X45" i="15" s="1"/>
  <c r="BP22" i="3"/>
  <c r="BO22" i="3"/>
  <c r="P45" i="15" s="1"/>
  <c r="Q45" i="15" s="1"/>
  <c r="BN22" i="3"/>
  <c r="BM22" i="3"/>
  <c r="I45" i="15" s="1"/>
  <c r="BL22" i="3"/>
  <c r="BS21" i="3"/>
  <c r="AD44" i="15" s="1"/>
  <c r="AE44" i="15" s="1"/>
  <c r="BR21" i="3"/>
  <c r="BQ21" i="3"/>
  <c r="W44" i="15" s="1"/>
  <c r="X44" i="15" s="1"/>
  <c r="BP21" i="3"/>
  <c r="BO21" i="3"/>
  <c r="P44" i="15" s="1"/>
  <c r="Q44" i="15" s="1"/>
  <c r="BN21" i="3"/>
  <c r="BM21" i="3"/>
  <c r="I44" i="15" s="1"/>
  <c r="BL21" i="3"/>
  <c r="BS20" i="3"/>
  <c r="AD43" i="15" s="1"/>
  <c r="AE43" i="15" s="1"/>
  <c r="BR20" i="3"/>
  <c r="BQ20" i="3"/>
  <c r="W43" i="15" s="1"/>
  <c r="X43" i="15" s="1"/>
  <c r="BP20" i="3"/>
  <c r="BO20" i="3"/>
  <c r="P43" i="15" s="1"/>
  <c r="Q43" i="15" s="1"/>
  <c r="BN20" i="3"/>
  <c r="BM20" i="3"/>
  <c r="I43" i="15" s="1"/>
  <c r="BL20" i="3"/>
  <c r="BS19" i="3"/>
  <c r="AD42" i="15" s="1"/>
  <c r="AE42" i="15" s="1"/>
  <c r="BR19" i="3"/>
  <c r="BQ19" i="3"/>
  <c r="W42" i="15" s="1"/>
  <c r="X42" i="15" s="1"/>
  <c r="BP19" i="3"/>
  <c r="BO19" i="3"/>
  <c r="P42" i="15" s="1"/>
  <c r="Q42" i="15" s="1"/>
  <c r="BN19" i="3"/>
  <c r="BM19" i="3"/>
  <c r="I42" i="15" s="1"/>
  <c r="BL19" i="3"/>
  <c r="BS18" i="3"/>
  <c r="AD41" i="15" s="1"/>
  <c r="AE41" i="15" s="1"/>
  <c r="BR18" i="3"/>
  <c r="BQ18" i="3"/>
  <c r="W41" i="15" s="1"/>
  <c r="X41" i="15" s="1"/>
  <c r="BP18" i="3"/>
  <c r="BO18" i="3"/>
  <c r="P41" i="15" s="1"/>
  <c r="Q41" i="15" s="1"/>
  <c r="BN18" i="3"/>
  <c r="BM18" i="3"/>
  <c r="I41" i="15" s="1"/>
  <c r="BL18" i="3"/>
  <c r="BS17" i="3"/>
  <c r="AD40" i="15" s="1"/>
  <c r="AE40" i="15" s="1"/>
  <c r="BR17" i="3"/>
  <c r="BQ17" i="3"/>
  <c r="W40" i="15" s="1"/>
  <c r="X40" i="15" s="1"/>
  <c r="BP17" i="3"/>
  <c r="BO17" i="3"/>
  <c r="P40" i="15" s="1"/>
  <c r="Q40" i="15" s="1"/>
  <c r="BN17" i="3"/>
  <c r="BM17" i="3"/>
  <c r="I40" i="15" s="1"/>
  <c r="BL17" i="3"/>
  <c r="BS16" i="3"/>
  <c r="AD39" i="15" s="1"/>
  <c r="AE39" i="15" s="1"/>
  <c r="BR16" i="3"/>
  <c r="BQ16" i="3"/>
  <c r="W39" i="15" s="1"/>
  <c r="X39" i="15" s="1"/>
  <c r="BP16" i="3"/>
  <c r="BO16" i="3"/>
  <c r="P39" i="15" s="1"/>
  <c r="Q39" i="15" s="1"/>
  <c r="BN16" i="3"/>
  <c r="BM16" i="3"/>
  <c r="I39" i="15" s="1"/>
  <c r="BL16" i="3"/>
  <c r="BS15" i="3"/>
  <c r="AD38" i="15" s="1"/>
  <c r="AE38" i="15" s="1"/>
  <c r="BR15" i="3"/>
  <c r="BQ15" i="3"/>
  <c r="W38" i="15" s="1"/>
  <c r="X38" i="15" s="1"/>
  <c r="BP15" i="3"/>
  <c r="BO15" i="3"/>
  <c r="P38" i="15" s="1"/>
  <c r="Q38" i="15" s="1"/>
  <c r="BN15" i="3"/>
  <c r="BM15" i="3"/>
  <c r="I38" i="15" s="1"/>
  <c r="BL15" i="3"/>
  <c r="BS14" i="3"/>
  <c r="BR14" i="3"/>
  <c r="AD180" i="15" s="1"/>
  <c r="AE180" i="15" s="1"/>
  <c r="BQ14" i="3"/>
  <c r="BP14" i="3"/>
  <c r="W180" i="15" s="1"/>
  <c r="BO14" i="3"/>
  <c r="BN14" i="3"/>
  <c r="P180" i="15" s="1"/>
  <c r="BM14" i="3"/>
  <c r="BL14" i="3"/>
  <c r="I180" i="15" s="1"/>
  <c r="BS13" i="3"/>
  <c r="BR13" i="3"/>
  <c r="AD179" i="15" s="1"/>
  <c r="BQ13" i="3"/>
  <c r="BP13" i="3"/>
  <c r="W179" i="15" s="1"/>
  <c r="BO13" i="3"/>
  <c r="BN13" i="3"/>
  <c r="P179" i="15" s="1"/>
  <c r="BM13" i="3"/>
  <c r="BL13" i="3"/>
  <c r="I179" i="15" s="1"/>
  <c r="BS12" i="3"/>
  <c r="BR12" i="3"/>
  <c r="AD169" i="15" s="1"/>
  <c r="AE169" i="15" s="1"/>
  <c r="BQ12" i="3"/>
  <c r="BP12" i="3"/>
  <c r="W169" i="15" s="1"/>
  <c r="X169" i="15" s="1"/>
  <c r="BO12" i="3"/>
  <c r="BN12" i="3"/>
  <c r="P169" i="15" s="1"/>
  <c r="Q169" i="15" s="1"/>
  <c r="BM12" i="3"/>
  <c r="BL12" i="3"/>
  <c r="I169" i="15" s="1"/>
  <c r="BS9" i="3"/>
  <c r="AD35" i="15" s="1"/>
  <c r="AE35" i="15" s="1"/>
  <c r="BR9" i="3"/>
  <c r="AD115" i="15" s="1"/>
  <c r="AE115" i="15" s="1"/>
  <c r="BQ9" i="3"/>
  <c r="W35" i="15" s="1"/>
  <c r="X35" i="15" s="1"/>
  <c r="BP9" i="3"/>
  <c r="W115" i="15" s="1"/>
  <c r="X115" i="15" s="1"/>
  <c r="BO9" i="3"/>
  <c r="P35" i="15" s="1"/>
  <c r="Q35" i="15" s="1"/>
  <c r="BN9" i="3"/>
  <c r="P115" i="15" s="1"/>
  <c r="Q115" i="15" s="1"/>
  <c r="BM9" i="3"/>
  <c r="I35" i="15" s="1"/>
  <c r="BL9" i="3"/>
  <c r="I115" i="15" s="1"/>
  <c r="BI154" i="3"/>
  <c r="AF217" i="15" s="1"/>
  <c r="AG217" i="15" s="1"/>
  <c r="BH154" i="3"/>
  <c r="AC96" i="15" s="1"/>
  <c r="BG154" i="3"/>
  <c r="BI153" i="3"/>
  <c r="BH153" i="3"/>
  <c r="BG153" i="3"/>
  <c r="BI150" i="3"/>
  <c r="BH150" i="3"/>
  <c r="BG150" i="3"/>
  <c r="BI148" i="3"/>
  <c r="AF166" i="15" s="1"/>
  <c r="AG166" i="15" s="1"/>
  <c r="BH148" i="3"/>
  <c r="BG148" i="3"/>
  <c r="BI146" i="3"/>
  <c r="AF165" i="15" s="1"/>
  <c r="AG165" i="15" s="1"/>
  <c r="BG146" i="3"/>
  <c r="BH145" i="3"/>
  <c r="BG145" i="3"/>
  <c r="BI144" i="3"/>
  <c r="BH144" i="3"/>
  <c r="BG144" i="3"/>
  <c r="BI143" i="3"/>
  <c r="AF122" i="15" s="1"/>
  <c r="AG122" i="15" s="1"/>
  <c r="BH143" i="3"/>
  <c r="BG143" i="3"/>
  <c r="BI142" i="3"/>
  <c r="BH142" i="3"/>
  <c r="BG142" i="3"/>
  <c r="BI141" i="3"/>
  <c r="AF121" i="15" s="1"/>
  <c r="AG121" i="15" s="1"/>
  <c r="BH141" i="3"/>
  <c r="BG141" i="3"/>
  <c r="BI140" i="3"/>
  <c r="AF176" i="15" s="1"/>
  <c r="AG176" i="15" s="1"/>
  <c r="BH140" i="3"/>
  <c r="BG140" i="3"/>
  <c r="BI139" i="3"/>
  <c r="AF164" i="15" s="1"/>
  <c r="AG164" i="15" s="1"/>
  <c r="BH139" i="3"/>
  <c r="AC95" i="15" s="1"/>
  <c r="BG139" i="3"/>
  <c r="BI137" i="3"/>
  <c r="AF163" i="15" s="1"/>
  <c r="AG163" i="15" s="1"/>
  <c r="BH137" i="3"/>
  <c r="BG137" i="3"/>
  <c r="BI136" i="3"/>
  <c r="AF216" i="15" s="1"/>
  <c r="AG216" i="15" s="1"/>
  <c r="BH136" i="3"/>
  <c r="BG136" i="3"/>
  <c r="BI135" i="3"/>
  <c r="AF215" i="15" s="1"/>
  <c r="AG215" i="15" s="1"/>
  <c r="BH135" i="3"/>
  <c r="AC94" i="15" s="1"/>
  <c r="BG135" i="3"/>
  <c r="BI134" i="3"/>
  <c r="AF162" i="15" s="1"/>
  <c r="AG162" i="15" s="1"/>
  <c r="BG134" i="3"/>
  <c r="BI133" i="3"/>
  <c r="AF161" i="15" s="1"/>
  <c r="AG161" i="15" s="1"/>
  <c r="BG133" i="3"/>
  <c r="BI132" i="3"/>
  <c r="AF160" i="15" s="1"/>
  <c r="AG160" i="15" s="1"/>
  <c r="BH132" i="3"/>
  <c r="AC91" i="15" s="1"/>
  <c r="BG132" i="3"/>
  <c r="BI130" i="3"/>
  <c r="AF213" i="15" s="1"/>
  <c r="AG213" i="15" s="1"/>
  <c r="BH130" i="3"/>
  <c r="BG130" i="3"/>
  <c r="BI129" i="3"/>
  <c r="AF212" i="15" s="1"/>
  <c r="AG212" i="15" s="1"/>
  <c r="BH129" i="3"/>
  <c r="BG129" i="3"/>
  <c r="BI128" i="3"/>
  <c r="AF159" i="15" s="1"/>
  <c r="AG159" i="15" s="1"/>
  <c r="BH128" i="3"/>
  <c r="BG128" i="3"/>
  <c r="BI127" i="3"/>
  <c r="AF158" i="15" s="1"/>
  <c r="AG158" i="15" s="1"/>
  <c r="BH127" i="3"/>
  <c r="BG127" i="3"/>
  <c r="BI126" i="3"/>
  <c r="AF157" i="15" s="1"/>
  <c r="AG157" i="15" s="1"/>
  <c r="BH126" i="3"/>
  <c r="AC86" i="15" s="1"/>
  <c r="BG126" i="3"/>
  <c r="BI125" i="3"/>
  <c r="AF156" i="15" s="1"/>
  <c r="AG156" i="15" s="1"/>
  <c r="BH125" i="3"/>
  <c r="AC85" i="15" s="1"/>
  <c r="BG125" i="3"/>
  <c r="BI124" i="3"/>
  <c r="AF202" i="15" s="1"/>
  <c r="AG202" i="15" s="1"/>
  <c r="BH124" i="3"/>
  <c r="BG124" i="3"/>
  <c r="BI123" i="3"/>
  <c r="AF201" i="15" s="1"/>
  <c r="AG201" i="15" s="1"/>
  <c r="BH123" i="3"/>
  <c r="BG123" i="3"/>
  <c r="BI122" i="3"/>
  <c r="AF175" i="15" s="1"/>
  <c r="AG175" i="15" s="1"/>
  <c r="BH122" i="3"/>
  <c r="BG122" i="3"/>
  <c r="BI121" i="3"/>
  <c r="AF222" i="15" s="1"/>
  <c r="AG222" i="15" s="1"/>
  <c r="BH121" i="3"/>
  <c r="BG121" i="3"/>
  <c r="BI120" i="3"/>
  <c r="AF200" i="15" s="1"/>
  <c r="AG200" i="15" s="1"/>
  <c r="BH120" i="3"/>
  <c r="BG120" i="3"/>
  <c r="BI119" i="3"/>
  <c r="AF117" i="15" s="1"/>
  <c r="AG117" i="15" s="1"/>
  <c r="BH119" i="3"/>
  <c r="BG119" i="3"/>
  <c r="BI118" i="3"/>
  <c r="AF199" i="15" s="1"/>
  <c r="AG199" i="15" s="1"/>
  <c r="BH118" i="3"/>
  <c r="BG118" i="3"/>
  <c r="BI117" i="3"/>
  <c r="AF198" i="15" s="1"/>
  <c r="AG198" i="15" s="1"/>
  <c r="BH117" i="3"/>
  <c r="BG117" i="3"/>
  <c r="BI116" i="3"/>
  <c r="AF197" i="15" s="1"/>
  <c r="AG197" i="15" s="1"/>
  <c r="BH116" i="3"/>
  <c r="BG116" i="3"/>
  <c r="BI115" i="3"/>
  <c r="AF196" i="15" s="1"/>
  <c r="AG196" i="15" s="1"/>
  <c r="BH115" i="3"/>
  <c r="BG115" i="3"/>
  <c r="BI114" i="3"/>
  <c r="AF174" i="15" s="1"/>
  <c r="AG174" i="15" s="1"/>
  <c r="BH114" i="3"/>
  <c r="BG114" i="3"/>
  <c r="BI113" i="3"/>
  <c r="AF195" i="15" s="1"/>
  <c r="AG195" i="15" s="1"/>
  <c r="BH113" i="3"/>
  <c r="AC31" i="15" s="1"/>
  <c r="BG113" i="3"/>
  <c r="BI112" i="3"/>
  <c r="AF113" i="15" s="1"/>
  <c r="AG113" i="15" s="1"/>
  <c r="BH112" i="3"/>
  <c r="BG112" i="3"/>
  <c r="BI111" i="3"/>
  <c r="AF114" i="15" s="1"/>
  <c r="AG114" i="15" s="1"/>
  <c r="BH111" i="3"/>
  <c r="AC29" i="15" s="1"/>
  <c r="BG111" i="3"/>
  <c r="BI110" i="3"/>
  <c r="AF192" i="15" s="1"/>
  <c r="AG192" i="15" s="1"/>
  <c r="BH110" i="3"/>
  <c r="AC28" i="15" s="1"/>
  <c r="BG110" i="3"/>
  <c r="BG109" i="3"/>
  <c r="BH108" i="3"/>
  <c r="BG108" i="3"/>
  <c r="BI107" i="3"/>
  <c r="AF112" i="15" s="1"/>
  <c r="AG112" i="15" s="1"/>
  <c r="BH107" i="3"/>
  <c r="AC30" i="15" s="1"/>
  <c r="BG107" i="3"/>
  <c r="BI106" i="3"/>
  <c r="BH106" i="3"/>
  <c r="BG106" i="3"/>
  <c r="BI105" i="3"/>
  <c r="AF193" i="15" s="1"/>
  <c r="AG193" i="15" s="1"/>
  <c r="BH105" i="3"/>
  <c r="BG105" i="3"/>
  <c r="BI104" i="3"/>
  <c r="AF191" i="15" s="1"/>
  <c r="AG191" i="15" s="1"/>
  <c r="BH104" i="3"/>
  <c r="AC27" i="15" s="1"/>
  <c r="BG104" i="3"/>
  <c r="BI103" i="3"/>
  <c r="BH103" i="3"/>
  <c r="BG103" i="3"/>
  <c r="BI102" i="3"/>
  <c r="AF221" i="15" s="1"/>
  <c r="AG221" i="15" s="1"/>
  <c r="BH102" i="3"/>
  <c r="AC26" i="15" s="1"/>
  <c r="BG102" i="3"/>
  <c r="BI101" i="3"/>
  <c r="AF220" i="15" s="1"/>
  <c r="AG220" i="15" s="1"/>
  <c r="BH101" i="3"/>
  <c r="AC25" i="15" s="1"/>
  <c r="BG101" i="3"/>
  <c r="BI100" i="3"/>
  <c r="AF190" i="15" s="1"/>
  <c r="AG190" i="15" s="1"/>
  <c r="BH100" i="3"/>
  <c r="BG100" i="3"/>
  <c r="BI99" i="3"/>
  <c r="AF189" i="15" s="1"/>
  <c r="AG189" i="15" s="1"/>
  <c r="BH99" i="3"/>
  <c r="AC23" i="15" s="1"/>
  <c r="BG99" i="3"/>
  <c r="BI98" i="3"/>
  <c r="AF111" i="15" s="1"/>
  <c r="AG111" i="15" s="1"/>
  <c r="BH98" i="3"/>
  <c r="BG98" i="3"/>
  <c r="BI97" i="3"/>
  <c r="AF110" i="15" s="1"/>
  <c r="AG110" i="15" s="1"/>
  <c r="BH97" i="3"/>
  <c r="BG97" i="3"/>
  <c r="BI96" i="3"/>
  <c r="AF109" i="15" s="1"/>
  <c r="AG109" i="15" s="1"/>
  <c r="BH96" i="3"/>
  <c r="BG96" i="3"/>
  <c r="BI95" i="3"/>
  <c r="AF108" i="15" s="1"/>
  <c r="BH95" i="3"/>
  <c r="BG95" i="3"/>
  <c r="BI94" i="3"/>
  <c r="BH94" i="3"/>
  <c r="BG94" i="3"/>
  <c r="BH93" i="3"/>
  <c r="BG93" i="3"/>
  <c r="BH92" i="3"/>
  <c r="BG92" i="3"/>
  <c r="BI91" i="3"/>
  <c r="AF188" i="15" s="1"/>
  <c r="AG188" i="15" s="1"/>
  <c r="BH91" i="3"/>
  <c r="BG91" i="3"/>
  <c r="BI90" i="3"/>
  <c r="AF187" i="15" s="1"/>
  <c r="AG187" i="15" s="1"/>
  <c r="BH90" i="3"/>
  <c r="BG90" i="3"/>
  <c r="AF209" i="15"/>
  <c r="AG209" i="15" s="1"/>
  <c r="AC76" i="15"/>
  <c r="BI79" i="3"/>
  <c r="AF207" i="15" s="1"/>
  <c r="AG207" i="15" s="1"/>
  <c r="BH79" i="3"/>
  <c r="BG79" i="3"/>
  <c r="BI78" i="3"/>
  <c r="AF186" i="15" s="1"/>
  <c r="AG186" i="15" s="1"/>
  <c r="BH78" i="3"/>
  <c r="BG78" i="3"/>
  <c r="BI77" i="3"/>
  <c r="AF185" i="15" s="1"/>
  <c r="AG185" i="15" s="1"/>
  <c r="BH77" i="3"/>
  <c r="BG77" i="3"/>
  <c r="BI76" i="3"/>
  <c r="AF172" i="15" s="1"/>
  <c r="AG172" i="15" s="1"/>
  <c r="BH76" i="3"/>
  <c r="BG76" i="3"/>
  <c r="BI75" i="3"/>
  <c r="AF145" i="15" s="1"/>
  <c r="AG145" i="15" s="1"/>
  <c r="BH75" i="3"/>
  <c r="BG75" i="3"/>
  <c r="BI74" i="3"/>
  <c r="AF144" i="15" s="1"/>
  <c r="AG144" i="15" s="1"/>
  <c r="BH74" i="3"/>
  <c r="BG74" i="3"/>
  <c r="BI73" i="3"/>
  <c r="AF211" i="15" s="1"/>
  <c r="AG211" i="15" s="1"/>
  <c r="BH73" i="3"/>
  <c r="BG73" i="3"/>
  <c r="BI72" i="3"/>
  <c r="AF143" i="15" s="1"/>
  <c r="AG143" i="15" s="1"/>
  <c r="BH72" i="3"/>
  <c r="BG72" i="3"/>
  <c r="BI71" i="3"/>
  <c r="AF205" i="15" s="1"/>
  <c r="AG205" i="15" s="1"/>
  <c r="BH71" i="3"/>
  <c r="BG71" i="3"/>
  <c r="BI70" i="3"/>
  <c r="AF142" i="15" s="1"/>
  <c r="AG142" i="15" s="1"/>
  <c r="BH70" i="3"/>
  <c r="BG70" i="3"/>
  <c r="AF140" i="15"/>
  <c r="AG140" i="15" s="1"/>
  <c r="AC104" i="15"/>
  <c r="BI67" i="3"/>
  <c r="AF139" i="15" s="1"/>
  <c r="AG139" i="15" s="1"/>
  <c r="BH67" i="3"/>
  <c r="BG67" i="3"/>
  <c r="BI66" i="3"/>
  <c r="AF184" i="15" s="1"/>
  <c r="AG184" i="15" s="1"/>
  <c r="BH66" i="3"/>
  <c r="BG66" i="3"/>
  <c r="BI65" i="3"/>
  <c r="AF183" i="15" s="1"/>
  <c r="AG183" i="15" s="1"/>
  <c r="BH65" i="3"/>
  <c r="BG65" i="3"/>
  <c r="BI64" i="3"/>
  <c r="AF171" i="15" s="1"/>
  <c r="AG171" i="15" s="1"/>
  <c r="BH64" i="3"/>
  <c r="BG64" i="3"/>
  <c r="BI63" i="3"/>
  <c r="AF204" i="15" s="1"/>
  <c r="AG204" i="15" s="1"/>
  <c r="BH63" i="3"/>
  <c r="AC102" i="15" s="1"/>
  <c r="BG63" i="3"/>
  <c r="BI62" i="3"/>
  <c r="AF138" i="15" s="1"/>
  <c r="AG138" i="15" s="1"/>
  <c r="BH62" i="3"/>
  <c r="BG62" i="3"/>
  <c r="BI61" i="3"/>
  <c r="AF137" i="15" s="1"/>
  <c r="AG137" i="15" s="1"/>
  <c r="BH61" i="3"/>
  <c r="BG61" i="3"/>
  <c r="BI60" i="3"/>
  <c r="AF136" i="15" s="1"/>
  <c r="AG136" i="15" s="1"/>
  <c r="BH60" i="3"/>
  <c r="BG60" i="3"/>
  <c r="BI59" i="3"/>
  <c r="AF135" i="15" s="1"/>
  <c r="AG135" i="15" s="1"/>
  <c r="BH59" i="3"/>
  <c r="BG59" i="3"/>
  <c r="BI58" i="3"/>
  <c r="AF134" i="15" s="1"/>
  <c r="AG134" i="15" s="1"/>
  <c r="BH58" i="3"/>
  <c r="BG58" i="3"/>
  <c r="BI57" i="3"/>
  <c r="AF133" i="15" s="1"/>
  <c r="AG133" i="15" s="1"/>
  <c r="BH57" i="3"/>
  <c r="BG57" i="3"/>
  <c r="BI56" i="3"/>
  <c r="AF132" i="15" s="1"/>
  <c r="AG132" i="15" s="1"/>
  <c r="BH56" i="3"/>
  <c r="BG56" i="3"/>
  <c r="BI55" i="3"/>
  <c r="AF131" i="15" s="1"/>
  <c r="AG131" i="15" s="1"/>
  <c r="BH55" i="3"/>
  <c r="BG55" i="3"/>
  <c r="BI54" i="3"/>
  <c r="AF130" i="15" s="1"/>
  <c r="AG130" i="15" s="1"/>
  <c r="BG54" i="3"/>
  <c r="BI53" i="3"/>
  <c r="AF129" i="15" s="1"/>
  <c r="AG129" i="15" s="1"/>
  <c r="BH53" i="3"/>
  <c r="AC101" i="15" s="1"/>
  <c r="BG53" i="3"/>
  <c r="BI52" i="3"/>
  <c r="AF128" i="15" s="1"/>
  <c r="AG128" i="15" s="1"/>
  <c r="BG52" i="3"/>
  <c r="BI51" i="3"/>
  <c r="AF127" i="15" s="1"/>
  <c r="AG127" i="15" s="1"/>
  <c r="BH51" i="3"/>
  <c r="BG51" i="3"/>
  <c r="BI50" i="3"/>
  <c r="AF126" i="15" s="1"/>
  <c r="AG126" i="15" s="1"/>
  <c r="BH50" i="3"/>
  <c r="BG50" i="3"/>
  <c r="BI49" i="3"/>
  <c r="AF125" i="15" s="1"/>
  <c r="AG125" i="15" s="1"/>
  <c r="BH49" i="3"/>
  <c r="BG49" i="3"/>
  <c r="BI48" i="3"/>
  <c r="AF124" i="15" s="1"/>
  <c r="BH48" i="3"/>
  <c r="AC99" i="15" s="1"/>
  <c r="BG48" i="3"/>
  <c r="BI47" i="3"/>
  <c r="AF182" i="15" s="1"/>
  <c r="AG182" i="15" s="1"/>
  <c r="BH47" i="3"/>
  <c r="BG47" i="3"/>
  <c r="BI46" i="3"/>
  <c r="AF181" i="15" s="1"/>
  <c r="AG181" i="15" s="1"/>
  <c r="BH46" i="3"/>
  <c r="BG46" i="3"/>
  <c r="BI45" i="3"/>
  <c r="AF170" i="15" s="1"/>
  <c r="AG170" i="15" s="1"/>
  <c r="BH45" i="3"/>
  <c r="BG45" i="3"/>
  <c r="BI44" i="3"/>
  <c r="BH44" i="3"/>
  <c r="AC63" i="15" s="1"/>
  <c r="BG44" i="3"/>
  <c r="BI43" i="3"/>
  <c r="AF154" i="15" s="1"/>
  <c r="AG154" i="15" s="1"/>
  <c r="BH43" i="3"/>
  <c r="BG43" i="3"/>
  <c r="BI42" i="3"/>
  <c r="AF153" i="15" s="1"/>
  <c r="AG153" i="15" s="1"/>
  <c r="BH42" i="3"/>
  <c r="AC64" i="15" s="1"/>
  <c r="BG42" i="3"/>
  <c r="BI41" i="3"/>
  <c r="AF152" i="15" s="1"/>
  <c r="AG152" i="15" s="1"/>
  <c r="BH41" i="3"/>
  <c r="AC62" i="15" s="1"/>
  <c r="BG41" i="3"/>
  <c r="BI40" i="3"/>
  <c r="AF151" i="15" s="1"/>
  <c r="AG151" i="15" s="1"/>
  <c r="BH40" i="3"/>
  <c r="AC61" i="15" s="1"/>
  <c r="BG40" i="3"/>
  <c r="BI39" i="3"/>
  <c r="AF150" i="15" s="1"/>
  <c r="AG150" i="15" s="1"/>
  <c r="BH39" i="3"/>
  <c r="BG39" i="3"/>
  <c r="BI38" i="3"/>
  <c r="AF149" i="15" s="1"/>
  <c r="AG149" i="15" s="1"/>
  <c r="BH38" i="3"/>
  <c r="BG38" i="3"/>
  <c r="BI37" i="3"/>
  <c r="AF148" i="15" s="1"/>
  <c r="AG148" i="15" s="1"/>
  <c r="BH37" i="3"/>
  <c r="AC60" i="15" s="1"/>
  <c r="BG37" i="3"/>
  <c r="BI36" i="3"/>
  <c r="AF147" i="15" s="1"/>
  <c r="AG147" i="15" s="1"/>
  <c r="BH36" i="3"/>
  <c r="AC59" i="15" s="1"/>
  <c r="BG36" i="3"/>
  <c r="BI35" i="3"/>
  <c r="BH35" i="3"/>
  <c r="BG35" i="3"/>
  <c r="BI34" i="3"/>
  <c r="BH34" i="3"/>
  <c r="BG34" i="3"/>
  <c r="BH33" i="3"/>
  <c r="BG33" i="3"/>
  <c r="BI32" i="3"/>
  <c r="BH32" i="3"/>
  <c r="BG32" i="3"/>
  <c r="BI31" i="3"/>
  <c r="BH31" i="3"/>
  <c r="BG31" i="3"/>
  <c r="BI30" i="3"/>
  <c r="BH30" i="3"/>
  <c r="BG30" i="3"/>
  <c r="BI29" i="3"/>
  <c r="BH29" i="3"/>
  <c r="BG29" i="3"/>
  <c r="BI28" i="3"/>
  <c r="BH28" i="3"/>
  <c r="BG28" i="3"/>
  <c r="BI27" i="3"/>
  <c r="BH27" i="3"/>
  <c r="BG27" i="3"/>
  <c r="BI26" i="3"/>
  <c r="BH26" i="3"/>
  <c r="BG26" i="3"/>
  <c r="BI25" i="3"/>
  <c r="BH25" i="3"/>
  <c r="BG25" i="3"/>
  <c r="BI24" i="3"/>
  <c r="BH24" i="3"/>
  <c r="BG24" i="3"/>
  <c r="BI23" i="3"/>
  <c r="BH23" i="3"/>
  <c r="BG23" i="3"/>
  <c r="BI22" i="3"/>
  <c r="BH22" i="3"/>
  <c r="BG22" i="3"/>
  <c r="BI21" i="3"/>
  <c r="BH21" i="3"/>
  <c r="BG21" i="3"/>
  <c r="BI20" i="3"/>
  <c r="BH20" i="3"/>
  <c r="BG20" i="3"/>
  <c r="BI19" i="3"/>
  <c r="BH19" i="3"/>
  <c r="BG19" i="3"/>
  <c r="BI18" i="3"/>
  <c r="BH18" i="3"/>
  <c r="BG18" i="3"/>
  <c r="BI17" i="3"/>
  <c r="BH17" i="3"/>
  <c r="BG17" i="3"/>
  <c r="BI16" i="3"/>
  <c r="BH16" i="3"/>
  <c r="BG16" i="3"/>
  <c r="BI15" i="3"/>
  <c r="BH15" i="3"/>
  <c r="BG15" i="3"/>
  <c r="BI14" i="3"/>
  <c r="AF180" i="15" s="1"/>
  <c r="AG180" i="15" s="1"/>
  <c r="BH14" i="3"/>
  <c r="BG14" i="3"/>
  <c r="BI13" i="3"/>
  <c r="AF179" i="15" s="1"/>
  <c r="BH13" i="3"/>
  <c r="BG13" i="3"/>
  <c r="BI12" i="3"/>
  <c r="AF169" i="15" s="1"/>
  <c r="AG169" i="15" s="1"/>
  <c r="BH12" i="3"/>
  <c r="BG12" i="3"/>
  <c r="AY154" i="3"/>
  <c r="Y217" i="15" s="1"/>
  <c r="Z217" i="15" s="1"/>
  <c r="AA217" i="15" s="1"/>
  <c r="AX154" i="3"/>
  <c r="V96" i="15" s="1"/>
  <c r="AW154" i="3"/>
  <c r="AY153" i="3"/>
  <c r="AX153" i="3"/>
  <c r="AW153" i="3"/>
  <c r="AY150" i="3"/>
  <c r="AX150" i="3"/>
  <c r="AW150" i="3"/>
  <c r="AY148" i="3"/>
  <c r="Y166" i="15" s="1"/>
  <c r="Z166" i="15" s="1"/>
  <c r="AA166" i="15" s="1"/>
  <c r="AX148" i="3"/>
  <c r="AW148" i="3"/>
  <c r="AY146" i="3"/>
  <c r="Y165" i="15" s="1"/>
  <c r="Z165" i="15" s="1"/>
  <c r="AA165" i="15" s="1"/>
  <c r="AX146" i="3"/>
  <c r="AW146" i="3"/>
  <c r="AX145" i="3"/>
  <c r="AW145" i="3"/>
  <c r="AY144" i="3"/>
  <c r="AX144" i="3"/>
  <c r="AW144" i="3"/>
  <c r="AX9" i="3"/>
  <c r="AY9" i="3"/>
  <c r="Y115" i="15" s="1"/>
  <c r="Z115" i="15" s="1"/>
  <c r="AA115" i="15" s="1"/>
  <c r="AY12" i="3"/>
  <c r="Y169" i="15" s="1"/>
  <c r="Z169" i="15" s="1"/>
  <c r="AA169" i="15" s="1"/>
  <c r="AY13" i="3"/>
  <c r="Y179" i="15" s="1"/>
  <c r="AY14" i="3"/>
  <c r="Y180" i="15" s="1"/>
  <c r="Z180" i="15" s="1"/>
  <c r="AY15" i="3"/>
  <c r="AY16" i="3"/>
  <c r="Y39" i="15" s="1"/>
  <c r="Z39" i="15" s="1"/>
  <c r="AA39" i="15" s="1"/>
  <c r="AY17" i="3"/>
  <c r="AY18" i="3"/>
  <c r="AY19" i="3"/>
  <c r="AY20" i="3"/>
  <c r="AY21" i="3"/>
  <c r="AY22" i="3"/>
  <c r="AY23" i="3"/>
  <c r="AY24" i="3"/>
  <c r="AY25" i="3"/>
  <c r="AY26" i="3"/>
  <c r="AY27" i="3"/>
  <c r="AY28" i="3"/>
  <c r="AY29" i="3"/>
  <c r="AY30" i="3"/>
  <c r="AY31" i="3"/>
  <c r="AY32" i="3"/>
  <c r="AY33" i="3"/>
  <c r="AY34" i="3"/>
  <c r="AY35" i="3"/>
  <c r="AY36" i="3"/>
  <c r="Y147" i="15" s="1"/>
  <c r="Z147" i="15" s="1"/>
  <c r="AA147" i="15" s="1"/>
  <c r="AY37" i="3"/>
  <c r="Y148" i="15" s="1"/>
  <c r="Z148" i="15" s="1"/>
  <c r="AA148" i="15" s="1"/>
  <c r="AY38" i="3"/>
  <c r="Y149" i="15" s="1"/>
  <c r="Z149" i="15" s="1"/>
  <c r="AA149" i="15" s="1"/>
  <c r="AY39" i="3"/>
  <c r="Y150" i="15" s="1"/>
  <c r="Z150" i="15" s="1"/>
  <c r="AA150" i="15" s="1"/>
  <c r="AY40" i="3"/>
  <c r="Y151" i="15" s="1"/>
  <c r="Z151" i="15" s="1"/>
  <c r="AA151" i="15" s="1"/>
  <c r="AY41" i="3"/>
  <c r="Y152" i="15" s="1"/>
  <c r="Z152" i="15" s="1"/>
  <c r="AA152" i="15" s="1"/>
  <c r="AY42" i="3"/>
  <c r="Y153" i="15" s="1"/>
  <c r="Z153" i="15" s="1"/>
  <c r="AA153" i="15" s="1"/>
  <c r="AY43" i="3"/>
  <c r="Y154" i="15" s="1"/>
  <c r="Z154" i="15" s="1"/>
  <c r="AA154" i="15" s="1"/>
  <c r="AY44" i="3"/>
  <c r="AY45" i="3"/>
  <c r="Y170" i="15" s="1"/>
  <c r="Z170" i="15" s="1"/>
  <c r="AA170" i="15" s="1"/>
  <c r="AY46" i="3"/>
  <c r="Y181" i="15" s="1"/>
  <c r="Z181" i="15" s="1"/>
  <c r="AA181" i="15" s="1"/>
  <c r="AY47" i="3"/>
  <c r="Y182" i="15" s="1"/>
  <c r="Z182" i="15" s="1"/>
  <c r="AY48" i="3"/>
  <c r="Y124" i="15" s="1"/>
  <c r="Z124" i="15" s="1"/>
  <c r="AA124" i="15" s="1"/>
  <c r="AY49" i="3"/>
  <c r="Y125" i="15" s="1"/>
  <c r="Z125" i="15" s="1"/>
  <c r="AA125" i="15" s="1"/>
  <c r="AY50" i="3"/>
  <c r="Y126" i="15" s="1"/>
  <c r="Z126" i="15" s="1"/>
  <c r="AA126" i="15" s="1"/>
  <c r="AY51" i="3"/>
  <c r="Y127" i="15" s="1"/>
  <c r="Z127" i="15" s="1"/>
  <c r="AA127" i="15" s="1"/>
  <c r="AY52" i="3"/>
  <c r="Y128" i="15" s="1"/>
  <c r="Z128" i="15" s="1"/>
  <c r="AA128" i="15" s="1"/>
  <c r="AY53" i="3"/>
  <c r="Y129" i="15" s="1"/>
  <c r="Z129" i="15" s="1"/>
  <c r="AA129" i="15" s="1"/>
  <c r="AY54" i="3"/>
  <c r="Y130" i="15" s="1"/>
  <c r="Z130" i="15" s="1"/>
  <c r="AA130" i="15" s="1"/>
  <c r="AY55" i="3"/>
  <c r="Y131" i="15" s="1"/>
  <c r="Z131" i="15" s="1"/>
  <c r="AA131" i="15" s="1"/>
  <c r="AY56" i="3"/>
  <c r="Y132" i="15" s="1"/>
  <c r="Z132" i="15" s="1"/>
  <c r="AA132" i="15" s="1"/>
  <c r="AY57" i="3"/>
  <c r="Y133" i="15" s="1"/>
  <c r="Z133" i="15" s="1"/>
  <c r="AA133" i="15" s="1"/>
  <c r="AY58" i="3"/>
  <c r="Y134" i="15" s="1"/>
  <c r="Z134" i="15" s="1"/>
  <c r="AY59" i="3"/>
  <c r="Y135" i="15" s="1"/>
  <c r="Z135" i="15" s="1"/>
  <c r="AA135" i="15" s="1"/>
  <c r="AY60" i="3"/>
  <c r="Y136" i="15" s="1"/>
  <c r="Z136" i="15" s="1"/>
  <c r="AA136" i="15" s="1"/>
  <c r="AY61" i="3"/>
  <c r="Y137" i="15" s="1"/>
  <c r="Z137" i="15" s="1"/>
  <c r="AA137" i="15" s="1"/>
  <c r="AY62" i="3"/>
  <c r="Y138" i="15" s="1"/>
  <c r="Z138" i="15" s="1"/>
  <c r="AA138" i="15" s="1"/>
  <c r="AY63" i="3"/>
  <c r="Y204" i="15" s="1"/>
  <c r="Z204" i="15" s="1"/>
  <c r="AA204" i="15" s="1"/>
  <c r="AY64" i="3"/>
  <c r="Y171" i="15" s="1"/>
  <c r="Z171" i="15" s="1"/>
  <c r="AA171" i="15" s="1"/>
  <c r="AY65" i="3"/>
  <c r="Y183" i="15" s="1"/>
  <c r="Z183" i="15" s="1"/>
  <c r="AA183" i="15" s="1"/>
  <c r="AY66" i="3"/>
  <c r="Y184" i="15" s="1"/>
  <c r="Z184" i="15" s="1"/>
  <c r="AY67" i="3"/>
  <c r="Y139" i="15" s="1"/>
  <c r="Z139" i="15" s="1"/>
  <c r="AA139" i="15" s="1"/>
  <c r="Y140" i="15"/>
  <c r="Z140" i="15" s="1"/>
  <c r="AA140" i="15" s="1"/>
  <c r="AY70" i="3"/>
  <c r="Y142" i="15" s="1"/>
  <c r="Z142" i="15" s="1"/>
  <c r="AA142" i="15" s="1"/>
  <c r="AY71" i="3"/>
  <c r="Y205" i="15" s="1"/>
  <c r="Z205" i="15" s="1"/>
  <c r="AA205" i="15" s="1"/>
  <c r="AY72" i="3"/>
  <c r="Y143" i="15" s="1"/>
  <c r="Z143" i="15" s="1"/>
  <c r="AA143" i="15" s="1"/>
  <c r="AY73" i="3"/>
  <c r="Y211" i="15" s="1"/>
  <c r="Z211" i="15" s="1"/>
  <c r="AA211" i="15" s="1"/>
  <c r="AY74" i="3"/>
  <c r="Y144" i="15" s="1"/>
  <c r="Z144" i="15" s="1"/>
  <c r="AA144" i="15" s="1"/>
  <c r="AY75" i="3"/>
  <c r="Y145" i="15" s="1"/>
  <c r="Z145" i="15" s="1"/>
  <c r="AA145" i="15" s="1"/>
  <c r="AY76" i="3"/>
  <c r="Y172" i="15" s="1"/>
  <c r="Z172" i="15" s="1"/>
  <c r="AA172" i="15" s="1"/>
  <c r="AY77" i="3"/>
  <c r="Y185" i="15" s="1"/>
  <c r="Z185" i="15" s="1"/>
  <c r="AA185" i="15" s="1"/>
  <c r="AY78" i="3"/>
  <c r="Y186" i="15" s="1"/>
  <c r="Z186" i="15" s="1"/>
  <c r="AY79" i="3"/>
  <c r="Y207" i="15" s="1"/>
  <c r="Z207" i="15" s="1"/>
  <c r="AA207" i="15" s="1"/>
  <c r="Y209" i="15"/>
  <c r="Z209" i="15" s="1"/>
  <c r="AA209" i="15" s="1"/>
  <c r="AY90" i="3"/>
  <c r="Y187" i="15" s="1"/>
  <c r="Z187" i="15" s="1"/>
  <c r="AA187" i="15" s="1"/>
  <c r="AY91" i="3"/>
  <c r="Y188" i="15" s="1"/>
  <c r="Z188" i="15" s="1"/>
  <c r="AY94" i="3"/>
  <c r="AY95" i="3"/>
  <c r="Y108" i="15" s="1"/>
  <c r="AY96" i="3"/>
  <c r="Y109" i="15" s="1"/>
  <c r="Z109" i="15" s="1"/>
  <c r="AA109" i="15" s="1"/>
  <c r="AY97" i="3"/>
  <c r="Y110" i="15" s="1"/>
  <c r="Z110" i="15" s="1"/>
  <c r="AA110" i="15" s="1"/>
  <c r="AY98" i="3"/>
  <c r="Y111" i="15" s="1"/>
  <c r="Z111" i="15" s="1"/>
  <c r="AA111" i="15" s="1"/>
  <c r="AY99" i="3"/>
  <c r="Y189" i="15" s="1"/>
  <c r="Z189" i="15" s="1"/>
  <c r="AA189" i="15" s="1"/>
  <c r="AY100" i="3"/>
  <c r="Y190" i="15" s="1"/>
  <c r="Z190" i="15" s="1"/>
  <c r="AA190" i="15" s="1"/>
  <c r="AY101" i="3"/>
  <c r="Y220" i="15" s="1"/>
  <c r="Z220" i="15" s="1"/>
  <c r="AA220" i="15" s="1"/>
  <c r="AY102" i="3"/>
  <c r="Y221" i="15" s="1"/>
  <c r="Z221" i="15" s="1"/>
  <c r="AA221" i="15" s="1"/>
  <c r="AY103" i="3"/>
  <c r="AY104" i="3"/>
  <c r="Y191" i="15" s="1"/>
  <c r="Z191" i="15" s="1"/>
  <c r="AA191" i="15" s="1"/>
  <c r="AY105" i="3"/>
  <c r="Y193" i="15" s="1"/>
  <c r="Z193" i="15" s="1"/>
  <c r="AA193" i="15" s="1"/>
  <c r="AY106" i="3"/>
  <c r="AY107" i="3"/>
  <c r="Y112" i="15" s="1"/>
  <c r="Z112" i="15" s="1"/>
  <c r="AA112" i="15" s="1"/>
  <c r="AY110" i="3"/>
  <c r="Y192" i="15" s="1"/>
  <c r="Z192" i="15" s="1"/>
  <c r="AA192" i="15" s="1"/>
  <c r="AY111" i="3"/>
  <c r="Y114" i="15" s="1"/>
  <c r="Z114" i="15" s="1"/>
  <c r="AA114" i="15" s="1"/>
  <c r="AY112" i="3"/>
  <c r="Y113" i="15" s="1"/>
  <c r="Z113" i="15" s="1"/>
  <c r="AA113" i="15" s="1"/>
  <c r="AY113" i="3"/>
  <c r="Y195" i="15" s="1"/>
  <c r="Z195" i="15" s="1"/>
  <c r="AA195" i="15" s="1"/>
  <c r="AY114" i="3"/>
  <c r="Y174" i="15" s="1"/>
  <c r="Z174" i="15" s="1"/>
  <c r="AA174" i="15" s="1"/>
  <c r="AY115" i="3"/>
  <c r="Y196" i="15" s="1"/>
  <c r="Z196" i="15" s="1"/>
  <c r="AA196" i="15" s="1"/>
  <c r="AY116" i="3"/>
  <c r="Y197" i="15" s="1"/>
  <c r="Z197" i="15" s="1"/>
  <c r="AY117" i="3"/>
  <c r="Y198" i="15" s="1"/>
  <c r="Z198" i="15" s="1"/>
  <c r="AA198" i="15" s="1"/>
  <c r="AY118" i="3"/>
  <c r="Y199" i="15" s="1"/>
  <c r="Z199" i="15" s="1"/>
  <c r="AA199" i="15" s="1"/>
  <c r="AY119" i="3"/>
  <c r="Y117" i="15" s="1"/>
  <c r="Z117" i="15" s="1"/>
  <c r="AA117" i="15" s="1"/>
  <c r="AY120" i="3"/>
  <c r="Y200" i="15" s="1"/>
  <c r="Z200" i="15" s="1"/>
  <c r="AA200" i="15" s="1"/>
  <c r="AY121" i="3"/>
  <c r="Y222" i="15" s="1"/>
  <c r="Z222" i="15" s="1"/>
  <c r="AA222" i="15" s="1"/>
  <c r="AY122" i="3"/>
  <c r="Y175" i="15" s="1"/>
  <c r="Z175" i="15" s="1"/>
  <c r="AA175" i="15" s="1"/>
  <c r="AY123" i="3"/>
  <c r="Y201" i="15" s="1"/>
  <c r="Z201" i="15" s="1"/>
  <c r="AA201" i="15" s="1"/>
  <c r="AY124" i="3"/>
  <c r="Y202" i="15" s="1"/>
  <c r="Z202" i="15" s="1"/>
  <c r="AY125" i="3"/>
  <c r="Y156" i="15" s="1"/>
  <c r="Z156" i="15" s="1"/>
  <c r="AA156" i="15" s="1"/>
  <c r="AY126" i="3"/>
  <c r="Y157" i="15" s="1"/>
  <c r="Z157" i="15" s="1"/>
  <c r="AA157" i="15" s="1"/>
  <c r="AY127" i="3"/>
  <c r="Y158" i="15" s="1"/>
  <c r="Z158" i="15" s="1"/>
  <c r="AA158" i="15" s="1"/>
  <c r="AY128" i="3"/>
  <c r="Y159" i="15" s="1"/>
  <c r="Z159" i="15" s="1"/>
  <c r="AA159" i="15" s="1"/>
  <c r="AY129" i="3"/>
  <c r="Y212" i="15" s="1"/>
  <c r="Z212" i="15" s="1"/>
  <c r="AA212" i="15" s="1"/>
  <c r="AY130" i="3"/>
  <c r="Y213" i="15" s="1"/>
  <c r="Z213" i="15" s="1"/>
  <c r="AA213" i="15" s="1"/>
  <c r="AY132" i="3"/>
  <c r="Y160" i="15" s="1"/>
  <c r="Z160" i="15" s="1"/>
  <c r="AA160" i="15" s="1"/>
  <c r="AY133" i="3"/>
  <c r="Y161" i="15" s="1"/>
  <c r="Z161" i="15" s="1"/>
  <c r="AA161" i="15" s="1"/>
  <c r="AY134" i="3"/>
  <c r="Y162" i="15" s="1"/>
  <c r="Z162" i="15" s="1"/>
  <c r="AA162" i="15" s="1"/>
  <c r="AY135" i="3"/>
  <c r="Y215" i="15" s="1"/>
  <c r="Z215" i="15" s="1"/>
  <c r="AA215" i="15" s="1"/>
  <c r="AY136" i="3"/>
  <c r="Y216" i="15" s="1"/>
  <c r="Z216" i="15" s="1"/>
  <c r="AA216" i="15" s="1"/>
  <c r="AY137" i="3"/>
  <c r="Y163" i="15" s="1"/>
  <c r="Z163" i="15" s="1"/>
  <c r="AA163" i="15" s="1"/>
  <c r="AY139" i="3"/>
  <c r="Y164" i="15" s="1"/>
  <c r="Z164" i="15" s="1"/>
  <c r="AA164" i="15" s="1"/>
  <c r="AY140" i="3"/>
  <c r="Y176" i="15" s="1"/>
  <c r="Z176" i="15" s="1"/>
  <c r="AA176" i="15" s="1"/>
  <c r="AY141" i="3"/>
  <c r="Y121" i="15" s="1"/>
  <c r="Z121" i="15" s="1"/>
  <c r="AA121" i="15" s="1"/>
  <c r="AY142" i="3"/>
  <c r="AY143" i="3"/>
  <c r="Y122" i="15" s="1"/>
  <c r="Z122" i="15" s="1"/>
  <c r="AA122" i="15" s="1"/>
  <c r="AX12" i="3"/>
  <c r="AX13" i="3"/>
  <c r="AX14" i="3"/>
  <c r="AX15" i="3"/>
  <c r="AX16" i="3"/>
  <c r="AX17" i="3"/>
  <c r="AX18" i="3"/>
  <c r="AX19" i="3"/>
  <c r="AX20" i="3"/>
  <c r="AX21" i="3"/>
  <c r="AX22" i="3"/>
  <c r="AX23" i="3"/>
  <c r="AX24" i="3"/>
  <c r="AX25" i="3"/>
  <c r="AX26" i="3"/>
  <c r="AX27" i="3"/>
  <c r="AX28" i="3"/>
  <c r="AX29" i="3"/>
  <c r="AX30" i="3"/>
  <c r="AX31" i="3"/>
  <c r="AX32" i="3"/>
  <c r="AX33" i="3"/>
  <c r="AX34" i="3"/>
  <c r="AX35" i="3"/>
  <c r="AX36" i="3"/>
  <c r="V59" i="15" s="1"/>
  <c r="AX37" i="3"/>
  <c r="V60" i="15" s="1"/>
  <c r="AX38" i="3"/>
  <c r="AX39" i="3"/>
  <c r="AX40" i="3"/>
  <c r="V61" i="15" s="1"/>
  <c r="AX41" i="3"/>
  <c r="V62" i="15" s="1"/>
  <c r="AX42" i="3"/>
  <c r="V64" i="15" s="1"/>
  <c r="AX43" i="3"/>
  <c r="AX44" i="3"/>
  <c r="V63" i="15" s="1"/>
  <c r="AX45" i="3"/>
  <c r="AX46" i="3"/>
  <c r="AX47" i="3"/>
  <c r="AX48" i="3"/>
  <c r="V99" i="15" s="1"/>
  <c r="AX49" i="3"/>
  <c r="AX50" i="3"/>
  <c r="AX53" i="3"/>
  <c r="V101" i="15" s="1"/>
  <c r="AX55" i="3"/>
  <c r="AX56" i="3"/>
  <c r="AX57" i="3"/>
  <c r="AX58" i="3"/>
  <c r="AX59" i="3"/>
  <c r="AX60" i="3"/>
  <c r="AX61" i="3"/>
  <c r="AX62" i="3"/>
  <c r="AX63" i="3"/>
  <c r="V102" i="15" s="1"/>
  <c r="AX64" i="3"/>
  <c r="AX65" i="3"/>
  <c r="AX66" i="3"/>
  <c r="AX67" i="3"/>
  <c r="V104" i="15"/>
  <c r="AX70" i="3"/>
  <c r="AX71" i="3"/>
  <c r="AX72" i="3"/>
  <c r="AX73" i="3"/>
  <c r="AX74" i="3"/>
  <c r="AX75" i="3"/>
  <c r="AX76" i="3"/>
  <c r="AX77" i="3"/>
  <c r="AX78" i="3"/>
  <c r="AX79" i="3"/>
  <c r="V76" i="15"/>
  <c r="AX90" i="3"/>
  <c r="AX91" i="3"/>
  <c r="AX92" i="3"/>
  <c r="AX93" i="3"/>
  <c r="AX94" i="3"/>
  <c r="AX95" i="3"/>
  <c r="AX96" i="3"/>
  <c r="AX97" i="3"/>
  <c r="AX98" i="3"/>
  <c r="AX99" i="3"/>
  <c r="V23" i="15" s="1"/>
  <c r="AX100" i="3"/>
  <c r="AX101" i="3"/>
  <c r="V25" i="15" s="1"/>
  <c r="AX102" i="3"/>
  <c r="V26" i="15" s="1"/>
  <c r="AX103" i="3"/>
  <c r="AX104" i="3"/>
  <c r="V27" i="15" s="1"/>
  <c r="AX106" i="3"/>
  <c r="AX107" i="3"/>
  <c r="V30" i="15" s="1"/>
  <c r="AX110" i="3"/>
  <c r="V28" i="15" s="1"/>
  <c r="AX111" i="3"/>
  <c r="V29" i="15" s="1"/>
  <c r="AX112" i="3"/>
  <c r="AX113" i="3"/>
  <c r="V31" i="15" s="1"/>
  <c r="AX114" i="3"/>
  <c r="AX115" i="3"/>
  <c r="AX116" i="3"/>
  <c r="AX117" i="3"/>
  <c r="AX118" i="3"/>
  <c r="AX119" i="3"/>
  <c r="AX120" i="3"/>
  <c r="AX121" i="3"/>
  <c r="AX122" i="3"/>
  <c r="AX123" i="3"/>
  <c r="AX124" i="3"/>
  <c r="AX125" i="3"/>
  <c r="V85" i="15" s="1"/>
  <c r="AX126" i="3"/>
  <c r="V86" i="15" s="1"/>
  <c r="AX127" i="3"/>
  <c r="AX128" i="3"/>
  <c r="AX129" i="3"/>
  <c r="AX130" i="3"/>
  <c r="AX132" i="3"/>
  <c r="V91" i="15" s="1"/>
  <c r="AX135" i="3"/>
  <c r="V94" i="15" s="1"/>
  <c r="AX136" i="3"/>
  <c r="AX137" i="3"/>
  <c r="AX139" i="3"/>
  <c r="V95" i="15" s="1"/>
  <c r="AX140" i="3"/>
  <c r="AX141" i="3"/>
  <c r="AX142" i="3"/>
  <c r="AX143" i="3"/>
  <c r="AO153" i="3"/>
  <c r="AN153" i="3"/>
  <c r="AM153" i="3"/>
  <c r="AO154" i="3"/>
  <c r="R217" i="15" s="1"/>
  <c r="S217" i="15" s="1"/>
  <c r="T217" i="15" s="1"/>
  <c r="AN154" i="3"/>
  <c r="O96" i="15" s="1"/>
  <c r="AM154" i="3"/>
  <c r="AO150" i="3"/>
  <c r="AN150" i="3"/>
  <c r="AM150" i="3"/>
  <c r="AO148" i="3"/>
  <c r="R166" i="15" s="1"/>
  <c r="S166" i="15" s="1"/>
  <c r="AN148" i="3"/>
  <c r="AM148" i="3"/>
  <c r="R165" i="15"/>
  <c r="S165" i="15" s="1"/>
  <c r="T165" i="15" s="1"/>
  <c r="AN145" i="3"/>
  <c r="AM145" i="3"/>
  <c r="AO144" i="3"/>
  <c r="AN144" i="3"/>
  <c r="AM144" i="3"/>
  <c r="AE154" i="3"/>
  <c r="K217" i="15" s="1"/>
  <c r="AE153" i="3"/>
  <c r="AE150" i="3"/>
  <c r="AE148" i="3"/>
  <c r="K166" i="15" s="1"/>
  <c r="AD148" i="3"/>
  <c r="K165" i="15"/>
  <c r="AD145" i="3"/>
  <c r="AE144" i="3"/>
  <c r="AD144" i="3"/>
  <c r="AC153" i="3"/>
  <c r="AC154" i="3"/>
  <c r="AC148" i="3"/>
  <c r="AC150" i="3"/>
  <c r="AC144"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8" i="3"/>
  <c r="AC49" i="3"/>
  <c r="AC50" i="3"/>
  <c r="AC51" i="3"/>
  <c r="AC52" i="3"/>
  <c r="AC53" i="3"/>
  <c r="AC54" i="3"/>
  <c r="AC55" i="3"/>
  <c r="AC56" i="3"/>
  <c r="AC57" i="3"/>
  <c r="AC58" i="3"/>
  <c r="AC59" i="3"/>
  <c r="AC60" i="3"/>
  <c r="AC61" i="3"/>
  <c r="AC62" i="3"/>
  <c r="AC64" i="3"/>
  <c r="AC65" i="3"/>
  <c r="AC66" i="3"/>
  <c r="AC67" i="3"/>
  <c r="AC70" i="3"/>
  <c r="AC71" i="3"/>
  <c r="AC72" i="3"/>
  <c r="AC73" i="3"/>
  <c r="AC74" i="3"/>
  <c r="AC75" i="3"/>
  <c r="AC76" i="3"/>
  <c r="AC77" i="3"/>
  <c r="AC78" i="3"/>
  <c r="AC79" i="3"/>
  <c r="AC90" i="3"/>
  <c r="AC91" i="3"/>
  <c r="AC94" i="3"/>
  <c r="AC95" i="3"/>
  <c r="AC96" i="3"/>
  <c r="AC97" i="3"/>
  <c r="AC98" i="3"/>
  <c r="AC99" i="3"/>
  <c r="AC100" i="3"/>
  <c r="AC101" i="3"/>
  <c r="AC102" i="3"/>
  <c r="AC103" i="3"/>
  <c r="AC104" i="3"/>
  <c r="AC105" i="3"/>
  <c r="AC106" i="3"/>
  <c r="AC107" i="3"/>
  <c r="AC110" i="3"/>
  <c r="AC111" i="3"/>
  <c r="AC112" i="3"/>
  <c r="AC113" i="3"/>
  <c r="AC114" i="3"/>
  <c r="AC115" i="3"/>
  <c r="AC116" i="3"/>
  <c r="AC117" i="3"/>
  <c r="AC118" i="3"/>
  <c r="AC119" i="3"/>
  <c r="AC120" i="3"/>
  <c r="AC121" i="3"/>
  <c r="AC122" i="3"/>
  <c r="AC123" i="3"/>
  <c r="AC124" i="3"/>
  <c r="AC125" i="3"/>
  <c r="AC126" i="3"/>
  <c r="AC127" i="3"/>
  <c r="AC128" i="3"/>
  <c r="AC129" i="3"/>
  <c r="AC132" i="3"/>
  <c r="AC133" i="3"/>
  <c r="AC134" i="3"/>
  <c r="AC135" i="3"/>
  <c r="AC136" i="3"/>
  <c r="AC137" i="3"/>
  <c r="AC139" i="3"/>
  <c r="AC140" i="3"/>
  <c r="AC142" i="3"/>
  <c r="AC143"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70" i="3"/>
  <c r="AW71" i="3"/>
  <c r="AW72" i="3"/>
  <c r="AW73" i="3"/>
  <c r="AW74" i="3"/>
  <c r="AW75" i="3"/>
  <c r="AW76" i="3"/>
  <c r="AW77" i="3"/>
  <c r="AW78" i="3"/>
  <c r="AW7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2" i="3"/>
  <c r="AW133" i="3"/>
  <c r="AW134" i="3"/>
  <c r="AW135" i="3"/>
  <c r="AW136" i="3"/>
  <c r="AW137" i="3"/>
  <c r="AW139" i="3"/>
  <c r="AW140" i="3"/>
  <c r="AW141" i="3"/>
  <c r="AW142" i="3"/>
  <c r="AW143" i="3"/>
  <c r="AO9" i="3"/>
  <c r="R115" i="15" s="1"/>
  <c r="S115" i="15" s="1"/>
  <c r="T115" i="15" s="1"/>
  <c r="AO12" i="3"/>
  <c r="R169" i="15" s="1"/>
  <c r="S169" i="15" s="1"/>
  <c r="T169" i="15" s="1"/>
  <c r="AO13" i="3"/>
  <c r="R179" i="15" s="1"/>
  <c r="S180" i="15"/>
  <c r="AO15" i="3"/>
  <c r="AO16" i="3"/>
  <c r="AO17" i="3"/>
  <c r="AO18" i="3"/>
  <c r="AO19" i="3"/>
  <c r="AO20" i="3"/>
  <c r="AO21" i="3"/>
  <c r="AO22" i="3"/>
  <c r="AO23" i="3"/>
  <c r="AO24" i="3"/>
  <c r="AO25" i="3"/>
  <c r="AO26" i="3"/>
  <c r="AO27" i="3"/>
  <c r="AO28" i="3"/>
  <c r="AO29" i="3"/>
  <c r="AO30" i="3"/>
  <c r="AO31" i="3"/>
  <c r="AO32" i="3"/>
  <c r="AO34" i="3"/>
  <c r="AO35" i="3"/>
  <c r="AO36" i="3"/>
  <c r="R147" i="15" s="1"/>
  <c r="S147" i="15" s="1"/>
  <c r="T147" i="15" s="1"/>
  <c r="AO37" i="3"/>
  <c r="R148" i="15" s="1"/>
  <c r="S148" i="15" s="1"/>
  <c r="T148" i="15" s="1"/>
  <c r="AO38" i="3"/>
  <c r="R149" i="15" s="1"/>
  <c r="S149" i="15" s="1"/>
  <c r="T149" i="15" s="1"/>
  <c r="AO39" i="3"/>
  <c r="R150" i="15" s="1"/>
  <c r="S150" i="15" s="1"/>
  <c r="T150" i="15" s="1"/>
  <c r="AO40" i="3"/>
  <c r="R151" i="15" s="1"/>
  <c r="S151" i="15" s="1"/>
  <c r="T151" i="15" s="1"/>
  <c r="AO41" i="3"/>
  <c r="R152" i="15" s="1"/>
  <c r="S152" i="15" s="1"/>
  <c r="T152" i="15" s="1"/>
  <c r="AO42" i="3"/>
  <c r="R153" i="15" s="1"/>
  <c r="S153" i="15" s="1"/>
  <c r="T153" i="15" s="1"/>
  <c r="AO43" i="3"/>
  <c r="R154" i="15" s="1"/>
  <c r="S154" i="15" s="1"/>
  <c r="T154" i="15" s="1"/>
  <c r="AO44" i="3"/>
  <c r="AO45" i="3"/>
  <c r="R170" i="15" s="1"/>
  <c r="S170" i="15" s="1"/>
  <c r="T170" i="15" s="1"/>
  <c r="AO46" i="3"/>
  <c r="R181" i="15" s="1"/>
  <c r="S181" i="15" s="1"/>
  <c r="T181" i="15" s="1"/>
  <c r="AO47" i="3"/>
  <c r="R182" i="15" s="1"/>
  <c r="S182" i="15" s="1"/>
  <c r="AO48" i="3"/>
  <c r="R124" i="15" s="1"/>
  <c r="S124" i="15" s="1"/>
  <c r="T124" i="15" s="1"/>
  <c r="AO49" i="3"/>
  <c r="R125" i="15" s="1"/>
  <c r="S125" i="15" s="1"/>
  <c r="T125" i="15" s="1"/>
  <c r="AO50" i="3"/>
  <c r="R126" i="15" s="1"/>
  <c r="S126" i="15" s="1"/>
  <c r="T126" i="15" s="1"/>
  <c r="AO51" i="3"/>
  <c r="R127" i="15" s="1"/>
  <c r="S127" i="15" s="1"/>
  <c r="T127" i="15" s="1"/>
  <c r="R128" i="15"/>
  <c r="S128" i="15" s="1"/>
  <c r="T128" i="15" s="1"/>
  <c r="AO53" i="3"/>
  <c r="R129" i="15" s="1"/>
  <c r="S129" i="15" s="1"/>
  <c r="T129" i="15" s="1"/>
  <c r="AO54" i="3"/>
  <c r="R130" i="15" s="1"/>
  <c r="S130" i="15" s="1"/>
  <c r="T130" i="15" s="1"/>
  <c r="AO55" i="3"/>
  <c r="R131" i="15" s="1"/>
  <c r="S131" i="15" s="1"/>
  <c r="T131" i="15" s="1"/>
  <c r="AO56" i="3"/>
  <c r="R132" i="15" s="1"/>
  <c r="S132" i="15" s="1"/>
  <c r="T132" i="15" s="1"/>
  <c r="AO57" i="3"/>
  <c r="R133" i="15" s="1"/>
  <c r="S133" i="15" s="1"/>
  <c r="T133" i="15" s="1"/>
  <c r="R134" i="15"/>
  <c r="S134" i="15" s="1"/>
  <c r="AO59" i="3"/>
  <c r="R135" i="15" s="1"/>
  <c r="S135" i="15" s="1"/>
  <c r="T135" i="15" s="1"/>
  <c r="AO60" i="3"/>
  <c r="R136" i="15" s="1"/>
  <c r="S136" i="15" s="1"/>
  <c r="T136" i="15" s="1"/>
  <c r="AO61" i="3"/>
  <c r="R137" i="15" s="1"/>
  <c r="S137" i="15" s="1"/>
  <c r="T137" i="15" s="1"/>
  <c r="AO62" i="3"/>
  <c r="R138" i="15" s="1"/>
  <c r="S138" i="15" s="1"/>
  <c r="T138" i="15" s="1"/>
  <c r="AO63" i="3"/>
  <c r="R204" i="15" s="1"/>
  <c r="S204" i="15" s="1"/>
  <c r="T204" i="15" s="1"/>
  <c r="AO64" i="3"/>
  <c r="R171" i="15" s="1"/>
  <c r="S171" i="15" s="1"/>
  <c r="T171" i="15" s="1"/>
  <c r="AO65" i="3"/>
  <c r="R183" i="15" s="1"/>
  <c r="S183" i="15" s="1"/>
  <c r="T183" i="15" s="1"/>
  <c r="AO66" i="3"/>
  <c r="R184" i="15" s="1"/>
  <c r="S184" i="15" s="1"/>
  <c r="AO67" i="3"/>
  <c r="R139" i="15" s="1"/>
  <c r="S139" i="15" s="1"/>
  <c r="T139" i="15" s="1"/>
  <c r="R140" i="15"/>
  <c r="S140" i="15" s="1"/>
  <c r="T140" i="15" s="1"/>
  <c r="AO70" i="3"/>
  <c r="R142" i="15" s="1"/>
  <c r="S142" i="15" s="1"/>
  <c r="T142" i="15" s="1"/>
  <c r="AO71" i="3"/>
  <c r="R205" i="15" s="1"/>
  <c r="S205" i="15" s="1"/>
  <c r="T205" i="15" s="1"/>
  <c r="AO72" i="3"/>
  <c r="R143" i="15" s="1"/>
  <c r="S143" i="15" s="1"/>
  <c r="T143" i="15" s="1"/>
  <c r="AO73" i="3"/>
  <c r="R211" i="15" s="1"/>
  <c r="S211" i="15" s="1"/>
  <c r="T211" i="15" s="1"/>
  <c r="AO74" i="3"/>
  <c r="R144" i="15" s="1"/>
  <c r="S144" i="15" s="1"/>
  <c r="T144" i="15" s="1"/>
  <c r="AO75" i="3"/>
  <c r="R145" i="15" s="1"/>
  <c r="S145" i="15" s="1"/>
  <c r="T145" i="15" s="1"/>
  <c r="AO76" i="3"/>
  <c r="R172" i="15" s="1"/>
  <c r="S172" i="15" s="1"/>
  <c r="T172" i="15" s="1"/>
  <c r="AO77" i="3"/>
  <c r="R185" i="15" s="1"/>
  <c r="S185" i="15" s="1"/>
  <c r="T185" i="15" s="1"/>
  <c r="AO78" i="3"/>
  <c r="R186" i="15" s="1"/>
  <c r="S186" i="15" s="1"/>
  <c r="AO79" i="3"/>
  <c r="R207" i="15" s="1"/>
  <c r="S207" i="15" s="1"/>
  <c r="T207" i="15" s="1"/>
  <c r="R209" i="15"/>
  <c r="S209" i="15" s="1"/>
  <c r="T209" i="15" s="1"/>
  <c r="AO90" i="3"/>
  <c r="R187" i="15" s="1"/>
  <c r="S187" i="15" s="1"/>
  <c r="T187" i="15" s="1"/>
  <c r="AO91" i="3"/>
  <c r="R188" i="15" s="1"/>
  <c r="S188" i="15" s="1"/>
  <c r="AO94" i="3"/>
  <c r="AO95" i="3"/>
  <c r="R108" i="15" s="1"/>
  <c r="AO96" i="3"/>
  <c r="R109" i="15" s="1"/>
  <c r="S109" i="15" s="1"/>
  <c r="T109" i="15" s="1"/>
  <c r="AO97" i="3"/>
  <c r="R110" i="15" s="1"/>
  <c r="S110" i="15" s="1"/>
  <c r="T110" i="15" s="1"/>
  <c r="AO98" i="3"/>
  <c r="R111" i="15" s="1"/>
  <c r="S111" i="15" s="1"/>
  <c r="AO99" i="3"/>
  <c r="R189" i="15" s="1"/>
  <c r="S189" i="15" s="1"/>
  <c r="T189" i="15" s="1"/>
  <c r="AO100" i="3"/>
  <c r="R190" i="15" s="1"/>
  <c r="S190" i="15" s="1"/>
  <c r="T190" i="15" s="1"/>
  <c r="AO101" i="3"/>
  <c r="R220" i="15" s="1"/>
  <c r="S220" i="15" s="1"/>
  <c r="T220" i="15" s="1"/>
  <c r="AO102" i="3"/>
  <c r="R221" i="15" s="1"/>
  <c r="S221" i="15" s="1"/>
  <c r="T221" i="15" s="1"/>
  <c r="AO103" i="3"/>
  <c r="AO104" i="3"/>
  <c r="R191" i="15" s="1"/>
  <c r="S191" i="15" s="1"/>
  <c r="T191" i="15" s="1"/>
  <c r="AO105" i="3"/>
  <c r="R193" i="15" s="1"/>
  <c r="S193" i="15" s="1"/>
  <c r="T193" i="15" s="1"/>
  <c r="AO106" i="3"/>
  <c r="R112" i="15"/>
  <c r="S112" i="15" s="1"/>
  <c r="T112" i="15" s="1"/>
  <c r="AO110" i="3"/>
  <c r="R192" i="15" s="1"/>
  <c r="S192" i="15" s="1"/>
  <c r="T192" i="15" s="1"/>
  <c r="R114" i="15"/>
  <c r="S114" i="15" s="1"/>
  <c r="T114" i="15" s="1"/>
  <c r="AO112" i="3"/>
  <c r="R113" i="15" s="1"/>
  <c r="S113" i="15" s="1"/>
  <c r="T113" i="15" s="1"/>
  <c r="AO113" i="3"/>
  <c r="R195" i="15" s="1"/>
  <c r="S195" i="15" s="1"/>
  <c r="T195" i="15" s="1"/>
  <c r="AO114" i="3"/>
  <c r="R174" i="15" s="1"/>
  <c r="S174" i="15" s="1"/>
  <c r="T174" i="15" s="1"/>
  <c r="AO115" i="3"/>
  <c r="R196" i="15" s="1"/>
  <c r="S196" i="15" s="1"/>
  <c r="T196" i="15" s="1"/>
  <c r="AO116" i="3"/>
  <c r="R197" i="15" s="1"/>
  <c r="S197" i="15" s="1"/>
  <c r="AO117" i="3"/>
  <c r="R198" i="15" s="1"/>
  <c r="S198" i="15" s="1"/>
  <c r="T198" i="15" s="1"/>
  <c r="AO118" i="3"/>
  <c r="R199" i="15" s="1"/>
  <c r="S199" i="15" s="1"/>
  <c r="T199" i="15" s="1"/>
  <c r="R117" i="15"/>
  <c r="S117" i="15" s="1"/>
  <c r="T117" i="15" s="1"/>
  <c r="AO120" i="3"/>
  <c r="R200" i="15" s="1"/>
  <c r="S200" i="15" s="1"/>
  <c r="T200" i="15" s="1"/>
  <c r="AO121" i="3"/>
  <c r="R222" i="15" s="1"/>
  <c r="S222" i="15" s="1"/>
  <c r="T222" i="15" s="1"/>
  <c r="AO122" i="3"/>
  <c r="R175" i="15" s="1"/>
  <c r="S175" i="15" s="1"/>
  <c r="T175" i="15" s="1"/>
  <c r="AO123" i="3"/>
  <c r="R201" i="15" s="1"/>
  <c r="S201" i="15" s="1"/>
  <c r="T201" i="15" s="1"/>
  <c r="AO124" i="3"/>
  <c r="R202" i="15" s="1"/>
  <c r="S202" i="15" s="1"/>
  <c r="AO125" i="3"/>
  <c r="R156" i="15" s="1"/>
  <c r="S156" i="15" s="1"/>
  <c r="T156" i="15" s="1"/>
  <c r="AO126" i="3"/>
  <c r="R157" i="15" s="1"/>
  <c r="S157" i="15" s="1"/>
  <c r="T157" i="15" s="1"/>
  <c r="AO127" i="3"/>
  <c r="R158" i="15" s="1"/>
  <c r="S158" i="15" s="1"/>
  <c r="T158" i="15" s="1"/>
  <c r="AO128" i="3"/>
  <c r="R159" i="15" s="1"/>
  <c r="S159" i="15" s="1"/>
  <c r="T159" i="15" s="1"/>
  <c r="AO129" i="3"/>
  <c r="R212" i="15" s="1"/>
  <c r="S212" i="15" s="1"/>
  <c r="T212" i="15" s="1"/>
  <c r="AO130" i="3"/>
  <c r="R213" i="15" s="1"/>
  <c r="S213" i="15" s="1"/>
  <c r="T213" i="15" s="1"/>
  <c r="AO132" i="3"/>
  <c r="R160" i="15" s="1"/>
  <c r="S160" i="15" s="1"/>
  <c r="T160" i="15" s="1"/>
  <c r="AO133" i="3"/>
  <c r="R161" i="15" s="1"/>
  <c r="S161" i="15" s="1"/>
  <c r="T161" i="15" s="1"/>
  <c r="AO134" i="3"/>
  <c r="R162" i="15" s="1"/>
  <c r="S162" i="15" s="1"/>
  <c r="T162" i="15" s="1"/>
  <c r="AO135" i="3"/>
  <c r="R215" i="15" s="1"/>
  <c r="S215" i="15" s="1"/>
  <c r="T215" i="15" s="1"/>
  <c r="AO136" i="3"/>
  <c r="R216" i="15" s="1"/>
  <c r="S216" i="15" s="1"/>
  <c r="T216" i="15" s="1"/>
  <c r="AO137" i="3"/>
  <c r="R163" i="15" s="1"/>
  <c r="S163" i="15" s="1"/>
  <c r="T163" i="15" s="1"/>
  <c r="AO139" i="3"/>
  <c r="R164" i="15" s="1"/>
  <c r="S164" i="15" s="1"/>
  <c r="T164" i="15" s="1"/>
  <c r="AO140" i="3"/>
  <c r="R176" i="15" s="1"/>
  <c r="S176" i="15" s="1"/>
  <c r="T176" i="15" s="1"/>
  <c r="AO141" i="3"/>
  <c r="R121" i="15" s="1"/>
  <c r="S121" i="15" s="1"/>
  <c r="T121" i="15" s="1"/>
  <c r="AO142" i="3"/>
  <c r="AO143" i="3"/>
  <c r="R122" i="15" s="1"/>
  <c r="T122" i="15" s="1"/>
  <c r="X6" i="29" s="1"/>
  <c r="AN9" i="3"/>
  <c r="O35" i="15" s="1"/>
  <c r="AN12" i="3"/>
  <c r="AN13" i="3"/>
  <c r="AN14" i="3"/>
  <c r="AN15" i="3"/>
  <c r="AN16" i="3"/>
  <c r="AN17" i="3"/>
  <c r="AN18" i="3"/>
  <c r="AN19" i="3"/>
  <c r="AN20" i="3"/>
  <c r="AN21" i="3"/>
  <c r="AN22" i="3"/>
  <c r="AN23" i="3"/>
  <c r="AN24" i="3"/>
  <c r="AN25" i="3"/>
  <c r="AN26" i="3"/>
  <c r="AN27" i="3"/>
  <c r="AN28" i="3"/>
  <c r="AN29" i="3"/>
  <c r="AN30" i="3"/>
  <c r="AN31" i="3"/>
  <c r="AN32" i="3"/>
  <c r="AN34" i="3"/>
  <c r="AN35" i="3"/>
  <c r="AN36" i="3"/>
  <c r="O59" i="15" s="1"/>
  <c r="AN37" i="3"/>
  <c r="O60" i="15" s="1"/>
  <c r="AN38" i="3"/>
  <c r="AN39" i="3"/>
  <c r="AN40" i="3"/>
  <c r="O61" i="15" s="1"/>
  <c r="AN41" i="3"/>
  <c r="O62" i="15" s="1"/>
  <c r="AN42" i="3"/>
  <c r="O64" i="15" s="1"/>
  <c r="AN43" i="3"/>
  <c r="AN44" i="3"/>
  <c r="O63" i="15" s="1"/>
  <c r="AN45" i="3"/>
  <c r="AN46" i="3"/>
  <c r="AN47" i="3"/>
  <c r="O99" i="15"/>
  <c r="AN49" i="3"/>
  <c r="AN50" i="3"/>
  <c r="AN51" i="3"/>
  <c r="AN53" i="3"/>
  <c r="O101" i="15" s="1"/>
  <c r="AN55" i="3"/>
  <c r="AN56" i="3"/>
  <c r="AN57" i="3"/>
  <c r="AN58" i="3"/>
  <c r="AN59" i="3"/>
  <c r="AN60" i="3"/>
  <c r="AN61" i="3"/>
  <c r="AN62" i="3"/>
  <c r="AN63" i="3"/>
  <c r="O102" i="15" s="1"/>
  <c r="AN64" i="3"/>
  <c r="AN65" i="3"/>
  <c r="AN66" i="3"/>
  <c r="AN67" i="3"/>
  <c r="O104" i="15"/>
  <c r="AN70" i="3"/>
  <c r="AN71" i="3"/>
  <c r="AN72" i="3"/>
  <c r="AN73" i="3"/>
  <c r="AN74" i="3"/>
  <c r="AN75" i="3"/>
  <c r="AN76" i="3"/>
  <c r="AN77" i="3"/>
  <c r="AN78" i="3"/>
  <c r="AN79" i="3"/>
  <c r="O76" i="15"/>
  <c r="AN90" i="3"/>
  <c r="AN91" i="3"/>
  <c r="AN92" i="3"/>
  <c r="AN93" i="3"/>
  <c r="AN94" i="3"/>
  <c r="AN95" i="3"/>
  <c r="AN96" i="3"/>
  <c r="AN97" i="3"/>
  <c r="AN98" i="3"/>
  <c r="AN99" i="3"/>
  <c r="O23" i="15" s="1"/>
  <c r="AN100" i="3"/>
  <c r="AN101" i="3"/>
  <c r="O25" i="15" s="1"/>
  <c r="AN102" i="3"/>
  <c r="O26" i="15" s="1"/>
  <c r="AN103" i="3"/>
  <c r="AN104" i="3"/>
  <c r="O27" i="15" s="1"/>
  <c r="AN105" i="3"/>
  <c r="AN106" i="3"/>
  <c r="O30" i="15"/>
  <c r="AN108" i="3"/>
  <c r="AN110" i="3"/>
  <c r="O28" i="15" s="1"/>
  <c r="AN111" i="3"/>
  <c r="O29" i="15" s="1"/>
  <c r="AN112" i="3"/>
  <c r="O22" i="15" s="1"/>
  <c r="AN113" i="3"/>
  <c r="O31" i="15" s="1"/>
  <c r="AN114" i="3"/>
  <c r="AN115" i="3"/>
  <c r="AN116" i="3"/>
  <c r="AN117" i="3"/>
  <c r="AN118" i="3"/>
  <c r="AN119" i="3"/>
  <c r="AN120" i="3"/>
  <c r="AN121" i="3"/>
  <c r="AN122" i="3"/>
  <c r="AN123" i="3"/>
  <c r="AN124" i="3"/>
  <c r="AN125" i="3"/>
  <c r="O85" i="15" s="1"/>
  <c r="AN126" i="3"/>
  <c r="O86" i="15" s="1"/>
  <c r="AN132" i="3"/>
  <c r="O91" i="15" s="1"/>
  <c r="O94" i="15"/>
  <c r="AN136" i="3"/>
  <c r="AN137" i="3"/>
  <c r="AN139" i="3"/>
  <c r="O95" i="15" s="1"/>
  <c r="AN140" i="3"/>
  <c r="AN141" i="3"/>
  <c r="AN142" i="3"/>
  <c r="AN143" i="3"/>
  <c r="AM12" i="3"/>
  <c r="AM13" i="3"/>
  <c r="AM14" i="3"/>
  <c r="AM15" i="3"/>
  <c r="AM16" i="3"/>
  <c r="AM17" i="3"/>
  <c r="AM18" i="3"/>
  <c r="AM19" i="3"/>
  <c r="AM20" i="3"/>
  <c r="AM21" i="3"/>
  <c r="AM22" i="3"/>
  <c r="AM23" i="3"/>
  <c r="AM24" i="3"/>
  <c r="AM25" i="3"/>
  <c r="AM26" i="3"/>
  <c r="AM27" i="3"/>
  <c r="AM28" i="3"/>
  <c r="AM29" i="3"/>
  <c r="AM30" i="3"/>
  <c r="AM31" i="3"/>
  <c r="AM32" i="3"/>
  <c r="AM34" i="3"/>
  <c r="AM35" i="3"/>
  <c r="AM36" i="3"/>
  <c r="AM37" i="3"/>
  <c r="AM38" i="3"/>
  <c r="AM39" i="3"/>
  <c r="AM40" i="3"/>
  <c r="AM41" i="3"/>
  <c r="AM42" i="3"/>
  <c r="AM43" i="3"/>
  <c r="AM44" i="3"/>
  <c r="AM58" i="3"/>
  <c r="AM59" i="3"/>
  <c r="AM60" i="3"/>
  <c r="AM61" i="3"/>
  <c r="AM62" i="3"/>
  <c r="AM63" i="3"/>
  <c r="AM64" i="3"/>
  <c r="AM65" i="3"/>
  <c r="AM66" i="3"/>
  <c r="AM67" i="3"/>
  <c r="AM70" i="3"/>
  <c r="AM71" i="3"/>
  <c r="AM72" i="3"/>
  <c r="AM73" i="3"/>
  <c r="AM74" i="3"/>
  <c r="AM75" i="3"/>
  <c r="AM76" i="3"/>
  <c r="AM77" i="3"/>
  <c r="AM78" i="3"/>
  <c r="AM79" i="3"/>
  <c r="AM90" i="3"/>
  <c r="AM91" i="3"/>
  <c r="AM94" i="3"/>
  <c r="AM95" i="3"/>
  <c r="AM96" i="3"/>
  <c r="AM97" i="3"/>
  <c r="AM98" i="3"/>
  <c r="AM99" i="3"/>
  <c r="AM100" i="3"/>
  <c r="AM101" i="3"/>
  <c r="AM102" i="3"/>
  <c r="AM103" i="3"/>
  <c r="AM104" i="3"/>
  <c r="AM106" i="3"/>
  <c r="AM107" i="3"/>
  <c r="AM108" i="3"/>
  <c r="AM110" i="3"/>
  <c r="AM111" i="3"/>
  <c r="AM112" i="3"/>
  <c r="AM113" i="3"/>
  <c r="AM114" i="3"/>
  <c r="AM115" i="3"/>
  <c r="AM116" i="3"/>
  <c r="AM117" i="3"/>
  <c r="AM120" i="3"/>
  <c r="AM121" i="3"/>
  <c r="AM122" i="3"/>
  <c r="AM123" i="3"/>
  <c r="AM124" i="3"/>
  <c r="AM125" i="3"/>
  <c r="AM126" i="3"/>
  <c r="AM127" i="3"/>
  <c r="AM128" i="3"/>
  <c r="AM129" i="3"/>
  <c r="AM130" i="3"/>
  <c r="AM132" i="3"/>
  <c r="AM133" i="3"/>
  <c r="AM135" i="3"/>
  <c r="AM136" i="3"/>
  <c r="AM137" i="3"/>
  <c r="AM139" i="3"/>
  <c r="AM140" i="3"/>
  <c r="AM141" i="3"/>
  <c r="AM142" i="3"/>
  <c r="AM143" i="3"/>
  <c r="AE14" i="3"/>
  <c r="K180" i="15" s="1"/>
  <c r="AE12" i="3"/>
  <c r="K169" i="15" s="1"/>
  <c r="AE13" i="3"/>
  <c r="K179" i="15" s="1"/>
  <c r="AE15" i="3"/>
  <c r="AE16" i="3"/>
  <c r="AE17" i="3"/>
  <c r="AE18" i="3"/>
  <c r="AE19" i="3"/>
  <c r="AE20" i="3"/>
  <c r="AE21" i="3"/>
  <c r="AE22" i="3"/>
  <c r="AE23" i="3"/>
  <c r="AE24" i="3"/>
  <c r="AE25" i="3"/>
  <c r="AE26" i="3"/>
  <c r="AE27" i="3"/>
  <c r="AE28" i="3"/>
  <c r="AE29" i="3"/>
  <c r="AE30" i="3"/>
  <c r="AE31" i="3"/>
  <c r="AE32" i="3"/>
  <c r="AE33" i="3"/>
  <c r="AE34" i="3"/>
  <c r="AE35" i="3"/>
  <c r="AE36" i="3"/>
  <c r="K147" i="15" s="1"/>
  <c r="AE37" i="3"/>
  <c r="K148" i="15" s="1"/>
  <c r="AE38" i="3"/>
  <c r="K149" i="15" s="1"/>
  <c r="AE39" i="3"/>
  <c r="K150" i="15" s="1"/>
  <c r="AE40" i="3"/>
  <c r="K151" i="15" s="1"/>
  <c r="AE41" i="3"/>
  <c r="K152" i="15" s="1"/>
  <c r="AE42" i="3"/>
  <c r="K153" i="15" s="1"/>
  <c r="AE43" i="3"/>
  <c r="K154" i="15" s="1"/>
  <c r="AE44" i="3"/>
  <c r="AE45" i="3"/>
  <c r="K170" i="15" s="1"/>
  <c r="AE46" i="3"/>
  <c r="K181" i="15" s="1"/>
  <c r="AE47" i="3"/>
  <c r="K182" i="15" s="1"/>
  <c r="AE48" i="3"/>
  <c r="K124" i="15" s="1"/>
  <c r="AE49" i="3"/>
  <c r="K125" i="15" s="1"/>
  <c r="AE50" i="3"/>
  <c r="K126" i="15" s="1"/>
  <c r="AE51" i="3"/>
  <c r="K127" i="15" s="1"/>
  <c r="AE52" i="3"/>
  <c r="K128" i="15" s="1"/>
  <c r="AE53" i="3"/>
  <c r="K129" i="15" s="1"/>
  <c r="AE54" i="3"/>
  <c r="K130" i="15" s="1"/>
  <c r="AE55" i="3"/>
  <c r="K131" i="15" s="1"/>
  <c r="AE56" i="3"/>
  <c r="K132" i="15" s="1"/>
  <c r="AE57" i="3"/>
  <c r="K133" i="15" s="1"/>
  <c r="K134" i="15"/>
  <c r="AE59" i="3"/>
  <c r="K135" i="15" s="1"/>
  <c r="AE60" i="3"/>
  <c r="K136" i="15" s="1"/>
  <c r="AE61" i="3"/>
  <c r="K137" i="15" s="1"/>
  <c r="AE62" i="3"/>
  <c r="K138" i="15" s="1"/>
  <c r="AE63" i="3"/>
  <c r="K204" i="15" s="1"/>
  <c r="AE64" i="3"/>
  <c r="K171" i="15" s="1"/>
  <c r="AE65" i="3"/>
  <c r="K183" i="15" s="1"/>
  <c r="AE66" i="3"/>
  <c r="K184" i="15" s="1"/>
  <c r="AE67" i="3"/>
  <c r="K139" i="15" s="1"/>
  <c r="K140" i="15"/>
  <c r="AE70" i="3"/>
  <c r="K142" i="15" s="1"/>
  <c r="AE71" i="3"/>
  <c r="K205" i="15" s="1"/>
  <c r="AE72" i="3"/>
  <c r="K143" i="15" s="1"/>
  <c r="AE73" i="3"/>
  <c r="K211" i="15" s="1"/>
  <c r="AE74" i="3"/>
  <c r="K144" i="15" s="1"/>
  <c r="AE75" i="3"/>
  <c r="K145" i="15" s="1"/>
  <c r="AE76" i="3"/>
  <c r="K172" i="15" s="1"/>
  <c r="AE77" i="3"/>
  <c r="K185" i="15" s="1"/>
  <c r="AE79" i="3"/>
  <c r="K207" i="15" s="1"/>
  <c r="K209" i="15"/>
  <c r="AE90" i="3"/>
  <c r="K187" i="15" s="1"/>
  <c r="AE91" i="3"/>
  <c r="K188" i="15" s="1"/>
  <c r="AE94" i="3"/>
  <c r="AE95" i="3"/>
  <c r="K108" i="15" s="1"/>
  <c r="AE96" i="3"/>
  <c r="K109" i="15" s="1"/>
  <c r="AE97" i="3"/>
  <c r="K110" i="15" s="1"/>
  <c r="AE98" i="3"/>
  <c r="K111" i="15" s="1"/>
  <c r="AE99" i="3"/>
  <c r="K189" i="15" s="1"/>
  <c r="AE100" i="3"/>
  <c r="K190" i="15" s="1"/>
  <c r="AE101" i="3"/>
  <c r="K220" i="15" s="1"/>
  <c r="AE102" i="3"/>
  <c r="K221" i="15" s="1"/>
  <c r="AE103" i="3"/>
  <c r="AE104" i="3"/>
  <c r="K191" i="15" s="1"/>
  <c r="AE105" i="3"/>
  <c r="K193" i="15" s="1"/>
  <c r="AE106" i="3"/>
  <c r="AE107" i="3"/>
  <c r="K112" i="15" s="1"/>
  <c r="AE110" i="3"/>
  <c r="K192" i="15" s="1"/>
  <c r="K114" i="15"/>
  <c r="AE112" i="3"/>
  <c r="K113" i="15" s="1"/>
  <c r="AE113" i="3"/>
  <c r="K195" i="15" s="1"/>
  <c r="AE114" i="3"/>
  <c r="K174" i="15" s="1"/>
  <c r="AE115" i="3"/>
  <c r="K196" i="15" s="1"/>
  <c r="AE116" i="3"/>
  <c r="K197" i="15" s="1"/>
  <c r="AE117" i="3"/>
  <c r="K198" i="15" s="1"/>
  <c r="AE118" i="3"/>
  <c r="K199" i="15" s="1"/>
  <c r="AE119" i="3"/>
  <c r="K117" i="15" s="1"/>
  <c r="AE120" i="3"/>
  <c r="K200" i="15" s="1"/>
  <c r="AE121" i="3"/>
  <c r="K222" i="15" s="1"/>
  <c r="AE122" i="3"/>
  <c r="K175" i="15" s="1"/>
  <c r="AE123" i="3"/>
  <c r="K201" i="15" s="1"/>
  <c r="AE124" i="3"/>
  <c r="K202" i="15" s="1"/>
  <c r="AE125" i="3"/>
  <c r="K156" i="15" s="1"/>
  <c r="AE126" i="3"/>
  <c r="K157" i="15" s="1"/>
  <c r="AE127" i="3"/>
  <c r="K158" i="15" s="1"/>
  <c r="AE128" i="3"/>
  <c r="K159" i="15" s="1"/>
  <c r="AE129" i="3"/>
  <c r="K212" i="15" s="1"/>
  <c r="AE130" i="3"/>
  <c r="K213" i="15" s="1"/>
  <c r="AE132" i="3"/>
  <c r="K160" i="15" s="1"/>
  <c r="AE133" i="3"/>
  <c r="K161" i="15" s="1"/>
  <c r="AE134" i="3"/>
  <c r="K162" i="15" s="1"/>
  <c r="AE135" i="3"/>
  <c r="K215" i="15" s="1"/>
  <c r="AE136" i="3"/>
  <c r="K216" i="15" s="1"/>
  <c r="AE137" i="3"/>
  <c r="K163" i="15" s="1"/>
  <c r="AE139" i="3"/>
  <c r="K164" i="15" s="1"/>
  <c r="AE140" i="3"/>
  <c r="K176" i="15" s="1"/>
  <c r="AE141" i="3"/>
  <c r="K121" i="15" s="1"/>
  <c r="AE142" i="3"/>
  <c r="AE143" i="3"/>
  <c r="K122" i="15" s="1"/>
  <c r="AD14" i="3"/>
  <c r="AD12" i="3"/>
  <c r="AD13" i="3"/>
  <c r="AD15" i="3"/>
  <c r="AD16" i="3"/>
  <c r="AD17" i="3"/>
  <c r="AD18" i="3"/>
  <c r="AD19" i="3"/>
  <c r="AD20" i="3"/>
  <c r="AD21" i="3"/>
  <c r="AD22" i="3"/>
  <c r="AD23" i="3"/>
  <c r="AD24" i="3"/>
  <c r="AD25" i="3"/>
  <c r="AD26" i="3"/>
  <c r="AD27" i="3"/>
  <c r="AD29" i="3"/>
  <c r="AD30" i="3"/>
  <c r="AD31" i="3"/>
  <c r="AD32" i="3"/>
  <c r="AD33" i="3"/>
  <c r="AD34" i="3"/>
  <c r="AD35" i="3"/>
  <c r="AD36" i="3"/>
  <c r="H59" i="15" s="1"/>
  <c r="AD37" i="3"/>
  <c r="H60" i="15" s="1"/>
  <c r="AD38" i="3"/>
  <c r="AD39" i="3"/>
  <c r="AD40" i="3"/>
  <c r="H61" i="15" s="1"/>
  <c r="AD41" i="3"/>
  <c r="H62" i="15" s="1"/>
  <c r="AD42" i="3"/>
  <c r="H64" i="15" s="1"/>
  <c r="AD43" i="3"/>
  <c r="AD45" i="3"/>
  <c r="AD46" i="3"/>
  <c r="AD47" i="3"/>
  <c r="AD48" i="3"/>
  <c r="H99" i="15" s="1"/>
  <c r="AD49" i="3"/>
  <c r="AD50" i="3"/>
  <c r="AD51" i="3"/>
  <c r="AD53" i="3"/>
  <c r="H101" i="15" s="1"/>
  <c r="AD56" i="3"/>
  <c r="AD57" i="3"/>
  <c r="AD58" i="3"/>
  <c r="AD59" i="3"/>
  <c r="AD60" i="3"/>
  <c r="AD61" i="3"/>
  <c r="AD62" i="3"/>
  <c r="AD63" i="3"/>
  <c r="H102" i="15" s="1"/>
  <c r="AD64" i="3"/>
  <c r="AD65" i="3"/>
  <c r="AD66" i="3"/>
  <c r="AD70" i="3"/>
  <c r="AD71" i="3"/>
  <c r="AD72" i="3"/>
  <c r="AD75" i="3"/>
  <c r="AD76" i="3"/>
  <c r="AD77" i="3"/>
  <c r="AD78" i="3"/>
  <c r="AD79" i="3"/>
  <c r="H76" i="15"/>
  <c r="AD90" i="3"/>
  <c r="AD91" i="3"/>
  <c r="AD92" i="3"/>
  <c r="AD95" i="3"/>
  <c r="AD96" i="3"/>
  <c r="AD97" i="3"/>
  <c r="AD98" i="3"/>
  <c r="AD100" i="3"/>
  <c r="AD101" i="3"/>
  <c r="H25" i="15" s="1"/>
  <c r="AD102" i="3"/>
  <c r="H26" i="15" s="1"/>
  <c r="AD103" i="3"/>
  <c r="AD104" i="3"/>
  <c r="H27" i="15" s="1"/>
  <c r="AD106" i="3"/>
  <c r="AD107" i="3"/>
  <c r="AD110" i="3"/>
  <c r="H28" i="15" s="1"/>
  <c r="AD112" i="3"/>
  <c r="H22" i="15" s="1"/>
  <c r="AD113" i="3"/>
  <c r="H31" i="15" s="1"/>
  <c r="AD114" i="3"/>
  <c r="AD115" i="3"/>
  <c r="AD116" i="3"/>
  <c r="AD117" i="3"/>
  <c r="AD118" i="3"/>
  <c r="AD119" i="3"/>
  <c r="AD120" i="3"/>
  <c r="AD121" i="3"/>
  <c r="AD122" i="3"/>
  <c r="AD123" i="3"/>
  <c r="AD124" i="3"/>
  <c r="AD136" i="3"/>
  <c r="AD139" i="3"/>
  <c r="H95" i="15" s="1"/>
  <c r="AD140" i="3"/>
  <c r="AD141" i="3"/>
  <c r="AD142" i="3"/>
  <c r="H36" i="15" s="1"/>
  <c r="AD143" i="3"/>
  <c r="BS8" i="3"/>
  <c r="BR8" i="3"/>
  <c r="AD168" i="15" s="1"/>
  <c r="AE168" i="15" s="1"/>
  <c r="BQ8" i="3"/>
  <c r="BP8" i="3"/>
  <c r="W168" i="15" s="1"/>
  <c r="X168" i="15" s="1"/>
  <c r="BO8" i="3"/>
  <c r="BM8" i="3"/>
  <c r="BN8" i="3"/>
  <c r="P168" i="15" s="1"/>
  <c r="Q168" i="15" s="1"/>
  <c r="BI8" i="3"/>
  <c r="AF168" i="15" s="1"/>
  <c r="AG168" i="15" s="1"/>
  <c r="BH8" i="3"/>
  <c r="AY8" i="3"/>
  <c r="Y168" i="15" s="1"/>
  <c r="Z168" i="15" s="1"/>
  <c r="AA168" i="15" s="1"/>
  <c r="AO8" i="3"/>
  <c r="R168" i="15" s="1"/>
  <c r="S168" i="15" s="1"/>
  <c r="T168" i="15" s="1"/>
  <c r="AM8" i="3"/>
  <c r="AX8" i="3"/>
  <c r="AW8" i="3"/>
  <c r="AN8" i="3"/>
  <c r="AE8" i="3"/>
  <c r="K168" i="15" s="1"/>
  <c r="AD8" i="3"/>
  <c r="AC8" i="3"/>
  <c r="BI9" i="3"/>
  <c r="AF115" i="15" s="1"/>
  <c r="AG115" i="15" s="1"/>
  <c r="BH9" i="3"/>
  <c r="BG9" i="3"/>
  <c r="K115" i="15"/>
  <c r="V12" i="3"/>
  <c r="BJ12" i="3" s="1"/>
  <c r="V13" i="3"/>
  <c r="AZ13" i="3" s="1"/>
  <c r="V14" i="3"/>
  <c r="BJ14" i="3" s="1"/>
  <c r="AZ15" i="3"/>
  <c r="Y38" i="15" s="1"/>
  <c r="Z38" i="15" s="1"/>
  <c r="AA38" i="15" s="1"/>
  <c r="AF16" i="3"/>
  <c r="K39" i="15" s="1"/>
  <c r="AZ17" i="3"/>
  <c r="Y40" i="15" s="1"/>
  <c r="Z40" i="15" s="1"/>
  <c r="AA40" i="15" s="1"/>
  <c r="AZ19" i="3"/>
  <c r="Y42" i="15" s="1"/>
  <c r="Z42" i="15" s="1"/>
  <c r="AA42" i="15" s="1"/>
  <c r="BJ20" i="3"/>
  <c r="AF43" i="15" s="1"/>
  <c r="AG43" i="15" s="1"/>
  <c r="AZ21" i="3"/>
  <c r="Y44" i="15" s="1"/>
  <c r="Z44" i="15" s="1"/>
  <c r="AA44" i="15" s="1"/>
  <c r="BJ22" i="3"/>
  <c r="AF45" i="15" s="1"/>
  <c r="AG45" i="15" s="1"/>
  <c r="AZ23" i="3"/>
  <c r="Y46" i="15" s="1"/>
  <c r="Z46" i="15" s="1"/>
  <c r="AA46" i="15" s="1"/>
  <c r="AP24" i="3"/>
  <c r="R47" i="15" s="1"/>
  <c r="S47" i="15" s="1"/>
  <c r="T47" i="15" s="1"/>
  <c r="BJ25" i="3"/>
  <c r="AF48" i="15" s="1"/>
  <c r="AG48" i="15" s="1"/>
  <c r="BJ27" i="3"/>
  <c r="AF50" i="15" s="1"/>
  <c r="AG50" i="15" s="1"/>
  <c r="BJ28" i="3"/>
  <c r="AF51" i="15" s="1"/>
  <c r="AG51" i="15" s="1"/>
  <c r="AZ29" i="3"/>
  <c r="Y52" i="15" s="1"/>
  <c r="Z52" i="15" s="1"/>
  <c r="AA52" i="15" s="1"/>
  <c r="BJ30" i="3"/>
  <c r="AF53" i="15" s="1"/>
  <c r="AG53" i="15" s="1"/>
  <c r="AZ31" i="3"/>
  <c r="Y54" i="15" s="1"/>
  <c r="Z54" i="15" s="1"/>
  <c r="AA54" i="15" s="1"/>
  <c r="AP32" i="3"/>
  <c r="R55" i="15" s="1"/>
  <c r="S55" i="15" s="1"/>
  <c r="T55" i="15" s="1"/>
  <c r="AZ35" i="3"/>
  <c r="Y58" i="15" s="1"/>
  <c r="Z58" i="15" s="1"/>
  <c r="AA58" i="15" s="1"/>
  <c r="BJ36" i="3"/>
  <c r="AF59" i="15" s="1"/>
  <c r="AG59" i="15" s="1"/>
  <c r="V37" i="3"/>
  <c r="AZ37" i="3" s="1"/>
  <c r="Y60" i="15" s="1"/>
  <c r="Z60" i="15" s="1"/>
  <c r="AA60" i="15" s="1"/>
  <c r="V38" i="3"/>
  <c r="BJ38" i="3" s="1"/>
  <c r="V39" i="3"/>
  <c r="AZ39" i="3" s="1"/>
  <c r="V40" i="3"/>
  <c r="AF40" i="3" s="1"/>
  <c r="K61" i="15" s="1"/>
  <c r="V41" i="3"/>
  <c r="BJ41" i="3" s="1"/>
  <c r="AF62" i="15" s="1"/>
  <c r="AG62" i="15" s="1"/>
  <c r="V42" i="3"/>
  <c r="V43" i="3"/>
  <c r="BJ43" i="3" s="1"/>
  <c r="V44" i="3"/>
  <c r="V45" i="3"/>
  <c r="AZ45" i="3" s="1"/>
  <c r="V46" i="3"/>
  <c r="BJ46" i="3" s="1"/>
  <c r="V47" i="3"/>
  <c r="AZ47" i="3" s="1"/>
  <c r="V48" i="3"/>
  <c r="AP48" i="3" s="1"/>
  <c r="R99" i="15" s="1"/>
  <c r="S99" i="15" s="1"/>
  <c r="T99" i="15" s="1"/>
  <c r="V49" i="3"/>
  <c r="AZ49" i="3" s="1"/>
  <c r="V50" i="3"/>
  <c r="V51" i="3"/>
  <c r="AZ51" i="3" s="1"/>
  <c r="V53" i="3"/>
  <c r="AZ53" i="3" s="1"/>
  <c r="Y101" i="15" s="1"/>
  <c r="Z101" i="15" s="1"/>
  <c r="AA101" i="15" s="1"/>
  <c r="V55" i="3"/>
  <c r="AZ55" i="3" s="1"/>
  <c r="V56" i="3"/>
  <c r="AF56" i="3" s="1"/>
  <c r="V57" i="3"/>
  <c r="BJ57" i="3" s="1"/>
  <c r="V58" i="3"/>
  <c r="V59" i="3"/>
  <c r="BJ59" i="3" s="1"/>
  <c r="V60" i="3"/>
  <c r="BJ60" i="3" s="1"/>
  <c r="V61" i="3"/>
  <c r="AZ61" i="3" s="1"/>
  <c r="V62" i="3"/>
  <c r="BJ62" i="3" s="1"/>
  <c r="V63" i="3"/>
  <c r="AZ63" i="3" s="1"/>
  <c r="Y102" i="15" s="1"/>
  <c r="Z102" i="15" s="1"/>
  <c r="AA102" i="15" s="1"/>
  <c r="V64" i="3"/>
  <c r="AP64" i="3" s="1"/>
  <c r="V65" i="3"/>
  <c r="AZ65" i="3" s="1"/>
  <c r="V66" i="3"/>
  <c r="AZ67" i="3"/>
  <c r="V70" i="3"/>
  <c r="AZ70" i="3" s="1"/>
  <c r="V71" i="3"/>
  <c r="BJ71" i="3" s="1"/>
  <c r="V72" i="3"/>
  <c r="AZ72" i="3" s="1"/>
  <c r="V73" i="3"/>
  <c r="BJ74" i="3"/>
  <c r="V75" i="3"/>
  <c r="BJ76" i="3"/>
  <c r="BJ77" i="3"/>
  <c r="AZ78" i="3"/>
  <c r="BJ79" i="3"/>
  <c r="Y68" i="15"/>
  <c r="Z68" i="15" s="1"/>
  <c r="AA68" i="15" s="1"/>
  <c r="Y76" i="15"/>
  <c r="Z76" i="15" s="1"/>
  <c r="AA76" i="15" s="1"/>
  <c r="AF69" i="15"/>
  <c r="AG69" i="15" s="1"/>
  <c r="Y70" i="15"/>
  <c r="Z70" i="15" s="1"/>
  <c r="AA70" i="15" s="1"/>
  <c r="AF71" i="15"/>
  <c r="AG71" i="15" s="1"/>
  <c r="Y72" i="15"/>
  <c r="Z72" i="15" s="1"/>
  <c r="AA72" i="15" s="1"/>
  <c r="V90" i="3"/>
  <c r="AP90" i="3" s="1"/>
  <c r="V91" i="3"/>
  <c r="BJ91" i="3" s="1"/>
  <c r="V92" i="3"/>
  <c r="V93" i="3"/>
  <c r="AK93" i="3" s="1"/>
  <c r="O16" i="15" s="1"/>
  <c r="BJ94" i="3"/>
  <c r="AF17" i="15" s="1"/>
  <c r="AG17" i="15" s="1"/>
  <c r="V95" i="3"/>
  <c r="AZ95" i="3" s="1"/>
  <c r="V96" i="3"/>
  <c r="BJ96" i="3" s="1"/>
  <c r="V97" i="3"/>
  <c r="AZ97" i="3" s="1"/>
  <c r="V98" i="3"/>
  <c r="AP98" i="3" s="1"/>
  <c r="V99" i="3"/>
  <c r="Z99" i="3" s="1"/>
  <c r="V100" i="3"/>
  <c r="V101" i="3"/>
  <c r="AZ101" i="3" s="1"/>
  <c r="Y25" i="15" s="1"/>
  <c r="Z25" i="15" s="1"/>
  <c r="AA25" i="15" s="1"/>
  <c r="V102" i="3"/>
  <c r="BJ102" i="3" s="1"/>
  <c r="AF26" i="15" s="1"/>
  <c r="AG26" i="15" s="1"/>
  <c r="V103" i="3"/>
  <c r="AZ103" i="3" s="1"/>
  <c r="Y19" i="15" s="1"/>
  <c r="Z19" i="15" s="1"/>
  <c r="AA19" i="15" s="1"/>
  <c r="V104" i="3"/>
  <c r="BJ104" i="3" s="1"/>
  <c r="AF27" i="15" s="1"/>
  <c r="AG27" i="15" s="1"/>
  <c r="V105" i="3"/>
  <c r="AF105" i="3" s="1"/>
  <c r="V106" i="3"/>
  <c r="AF106" i="3" s="1"/>
  <c r="V107" i="3"/>
  <c r="V108" i="3"/>
  <c r="V109" i="3"/>
  <c r="V110" i="3"/>
  <c r="BJ110" i="3" s="1"/>
  <c r="AF28" i="15" s="1"/>
  <c r="AG28" i="15" s="1"/>
  <c r="V111" i="3"/>
  <c r="AZ111" i="3" s="1"/>
  <c r="Y29" i="15" s="1"/>
  <c r="Z29" i="15" s="1"/>
  <c r="AA29" i="15" s="1"/>
  <c r="V112" i="3"/>
  <c r="BJ112" i="3" s="1"/>
  <c r="V113" i="3"/>
  <c r="AZ113" i="3" s="1"/>
  <c r="Y31" i="15" s="1"/>
  <c r="Z31" i="15" s="1"/>
  <c r="AA31" i="15" s="1"/>
  <c r="V114" i="3"/>
  <c r="AP114" i="3" s="1"/>
  <c r="V115" i="3"/>
  <c r="AZ115" i="3" s="1"/>
  <c r="V116" i="3"/>
  <c r="V117" i="3"/>
  <c r="AZ117" i="3" s="1"/>
  <c r="V118" i="3"/>
  <c r="BJ118" i="3" s="1"/>
  <c r="V119" i="3"/>
  <c r="AZ119" i="3" s="1"/>
  <c r="V120" i="3"/>
  <c r="BJ120" i="3" s="1"/>
  <c r="V121" i="3"/>
  <c r="AZ121" i="3" s="1"/>
  <c r="V122" i="3"/>
  <c r="BJ122" i="3" s="1"/>
  <c r="V123" i="3"/>
  <c r="BJ123" i="3" s="1"/>
  <c r="V124" i="3"/>
  <c r="V125" i="3"/>
  <c r="BJ125" i="3" s="1"/>
  <c r="AF85" i="15" s="1"/>
  <c r="AG85" i="15" s="1"/>
  <c r="V126" i="3"/>
  <c r="BJ126" i="3" s="1"/>
  <c r="AF86" i="15" s="1"/>
  <c r="AG86" i="15" s="1"/>
  <c r="AZ127" i="3"/>
  <c r="BJ128" i="3"/>
  <c r="AZ129" i="3"/>
  <c r="BJ130" i="3"/>
  <c r="V132" i="3"/>
  <c r="AP132" i="3" s="1"/>
  <c r="R91" i="15" s="1"/>
  <c r="S91" i="15" s="1"/>
  <c r="T91" i="15" s="1"/>
  <c r="V133" i="3"/>
  <c r="V134" i="3"/>
  <c r="V135" i="3"/>
  <c r="AP135" i="3" s="1"/>
  <c r="R94" i="15" s="1"/>
  <c r="S94" i="15" s="1"/>
  <c r="T94" i="15" s="1"/>
  <c r="V136" i="3"/>
  <c r="AZ136" i="3" s="1"/>
  <c r="V137" i="3"/>
  <c r="BJ137" i="3" s="1"/>
  <c r="V139" i="3"/>
  <c r="AZ139" i="3" s="1"/>
  <c r="Y95" i="15" s="1"/>
  <c r="Z95" i="15" s="1"/>
  <c r="AA95" i="15" s="1"/>
  <c r="V140" i="3"/>
  <c r="BJ140" i="3" s="1"/>
  <c r="V141" i="3"/>
  <c r="BJ141" i="3" s="1"/>
  <c r="V142" i="3"/>
  <c r="V143" i="3"/>
  <c r="BJ143" i="3" s="1"/>
  <c r="V144" i="3"/>
  <c r="BJ144" i="3" s="1"/>
  <c r="V145" i="3"/>
  <c r="AA145" i="3" s="1"/>
  <c r="V146" i="3"/>
  <c r="V148" i="3"/>
  <c r="V150" i="3"/>
  <c r="BJ150" i="3" s="1"/>
  <c r="AF78" i="15" s="1"/>
  <c r="AG78" i="15" s="1"/>
  <c r="V153" i="3"/>
  <c r="Z153" i="3" s="1"/>
  <c r="BV153" i="3" s="1"/>
  <c r="V154" i="3"/>
  <c r="BJ154" i="3" s="1"/>
  <c r="AF96" i="15" s="1"/>
  <c r="AG96" i="15" s="1"/>
  <c r="V9" i="3"/>
  <c r="AP9" i="3" s="1"/>
  <c r="R35" i="15" s="1"/>
  <c r="S35" i="15" s="1"/>
  <c r="T35" i="15" s="1"/>
  <c r="V8"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70" i="3"/>
  <c r="U71" i="3"/>
  <c r="U72" i="3"/>
  <c r="U73" i="3"/>
  <c r="U74" i="3"/>
  <c r="U75" i="3"/>
  <c r="U76" i="3"/>
  <c r="U77" i="3"/>
  <c r="U78" i="3"/>
  <c r="BU79" i="3"/>
  <c r="U90" i="3"/>
  <c r="U91" i="3"/>
  <c r="BU92" i="3"/>
  <c r="U95" i="3"/>
  <c r="U96" i="3"/>
  <c r="U97" i="3"/>
  <c r="U98" i="3"/>
  <c r="U99" i="3"/>
  <c r="U100" i="3"/>
  <c r="U101" i="3"/>
  <c r="U102" i="3"/>
  <c r="U103" i="3"/>
  <c r="U104" i="3"/>
  <c r="U105" i="3"/>
  <c r="U106" i="3"/>
  <c r="U107" i="3"/>
  <c r="U108" i="3"/>
  <c r="U109" i="3"/>
  <c r="U110" i="3"/>
  <c r="U111" i="3"/>
  <c r="U112" i="3"/>
  <c r="U113" i="3"/>
  <c r="U114" i="3"/>
  <c r="U115" i="3"/>
  <c r="U116" i="3"/>
  <c r="BU117" i="3"/>
  <c r="U118" i="3"/>
  <c r="U119" i="3"/>
  <c r="U120" i="3"/>
  <c r="U121" i="3"/>
  <c r="U122" i="3"/>
  <c r="U123" i="3"/>
  <c r="U124" i="3"/>
  <c r="U125" i="3"/>
  <c r="U126" i="3"/>
  <c r="U127" i="3"/>
  <c r="U128" i="3"/>
  <c r="U129" i="3"/>
  <c r="U130" i="3"/>
  <c r="U132" i="3"/>
  <c r="U133" i="3"/>
  <c r="U134" i="3"/>
  <c r="U135" i="3"/>
  <c r="U136" i="3"/>
  <c r="U137" i="3"/>
  <c r="U139" i="3"/>
  <c r="U140" i="3"/>
  <c r="U141" i="3"/>
  <c r="U142" i="3"/>
  <c r="U143" i="3"/>
  <c r="U144" i="3"/>
  <c r="U145" i="3"/>
  <c r="U146" i="3"/>
  <c r="U150" i="3"/>
  <c r="U153" i="3"/>
  <c r="U154" i="3"/>
  <c r="U9" i="3"/>
  <c r="U8" i="3"/>
  <c r="I123" i="15" l="1"/>
  <c r="BU141" i="3"/>
  <c r="AS141" i="3"/>
  <c r="BC141" i="3"/>
  <c r="Y141" i="3"/>
  <c r="AI141" i="3"/>
  <c r="BU61" i="3"/>
  <c r="AI61" i="3"/>
  <c r="Y61" i="3"/>
  <c r="BC61" i="3"/>
  <c r="AS61" i="3"/>
  <c r="BU37" i="3"/>
  <c r="AI37" i="3"/>
  <c r="Y37" i="3"/>
  <c r="BC37" i="3"/>
  <c r="AS37" i="3"/>
  <c r="BU130" i="3"/>
  <c r="AI130" i="3"/>
  <c r="BC130" i="3"/>
  <c r="AS130" i="3"/>
  <c r="Y130" i="3"/>
  <c r="Y98" i="3"/>
  <c r="AS98" i="3"/>
  <c r="AI98" i="3"/>
  <c r="BC98" i="3"/>
  <c r="BU70" i="3"/>
  <c r="BC70" i="3"/>
  <c r="AI70" i="3"/>
  <c r="Y70" i="3"/>
  <c r="AS70" i="3"/>
  <c r="BU52" i="3"/>
  <c r="Y52" i="3"/>
  <c r="AS52" i="3"/>
  <c r="AI52" i="3"/>
  <c r="BC52" i="3"/>
  <c r="BU28" i="3"/>
  <c r="Y28" i="3"/>
  <c r="AS28" i="3"/>
  <c r="AI28" i="3"/>
  <c r="BC28" i="3"/>
  <c r="BU12" i="3"/>
  <c r="AS12" i="3"/>
  <c r="BC12" i="3"/>
  <c r="Y12" i="3"/>
  <c r="AI12" i="3"/>
  <c r="BU153" i="3"/>
  <c r="BC153" i="3"/>
  <c r="Y153" i="3"/>
  <c r="AI153" i="3"/>
  <c r="AS153" i="3"/>
  <c r="BU140" i="3"/>
  <c r="AS140" i="3"/>
  <c r="BC140" i="3"/>
  <c r="Y140" i="3"/>
  <c r="AI140" i="3"/>
  <c r="BU122" i="3"/>
  <c r="AI122" i="3"/>
  <c r="AS122" i="3"/>
  <c r="BC122" i="3"/>
  <c r="Y122" i="3"/>
  <c r="BU114" i="3"/>
  <c r="Y114" i="3"/>
  <c r="AI114" i="3"/>
  <c r="AS114" i="3"/>
  <c r="BC114" i="3"/>
  <c r="BU106" i="3"/>
  <c r="Y106" i="3"/>
  <c r="AS106" i="3"/>
  <c r="AI106" i="3"/>
  <c r="BC106" i="3"/>
  <c r="BU78" i="3"/>
  <c r="BC78" i="3"/>
  <c r="AI78" i="3"/>
  <c r="Y78" i="3"/>
  <c r="AS78" i="3"/>
  <c r="BU60" i="3"/>
  <c r="Y60" i="3"/>
  <c r="AS60" i="3"/>
  <c r="AI60" i="3"/>
  <c r="BC60" i="3"/>
  <c r="BU44" i="3"/>
  <c r="Y44" i="3"/>
  <c r="AS44" i="3"/>
  <c r="BC44" i="3"/>
  <c r="AI44" i="3"/>
  <c r="BU36" i="3"/>
  <c r="AI36" i="3"/>
  <c r="Y36" i="3"/>
  <c r="AS36" i="3"/>
  <c r="BC36" i="3"/>
  <c r="BU20" i="3"/>
  <c r="Y20" i="3"/>
  <c r="AS20" i="3"/>
  <c r="AI20" i="3"/>
  <c r="BC20" i="3"/>
  <c r="BU150" i="3"/>
  <c r="AS150" i="3"/>
  <c r="BC150" i="3"/>
  <c r="Y150" i="3"/>
  <c r="AI150" i="3"/>
  <c r="AS139" i="3"/>
  <c r="BC139" i="3"/>
  <c r="AI139" i="3"/>
  <c r="Y139" i="3"/>
  <c r="BU129" i="3"/>
  <c r="AI129" i="3"/>
  <c r="AS129" i="3"/>
  <c r="Y129" i="3"/>
  <c r="BC129" i="3"/>
  <c r="BU121" i="3"/>
  <c r="AI121" i="3"/>
  <c r="AS121" i="3"/>
  <c r="Y121" i="3"/>
  <c r="BC121" i="3"/>
  <c r="BU113" i="3"/>
  <c r="Y113" i="3"/>
  <c r="AI113" i="3"/>
  <c r="BC113" i="3"/>
  <c r="AS113" i="3"/>
  <c r="BU105" i="3"/>
  <c r="Y105" i="3"/>
  <c r="AS105" i="3"/>
  <c r="AI105" i="3"/>
  <c r="BC105" i="3"/>
  <c r="BU97" i="3"/>
  <c r="Y97" i="3"/>
  <c r="AS97" i="3"/>
  <c r="AI97" i="3"/>
  <c r="BC97" i="3"/>
  <c r="BU77" i="3"/>
  <c r="AI77" i="3"/>
  <c r="Y77" i="3"/>
  <c r="BC77" i="3"/>
  <c r="AS77" i="3"/>
  <c r="BU67" i="3"/>
  <c r="Y67" i="3"/>
  <c r="AS67" i="3"/>
  <c r="BC67" i="3"/>
  <c r="AI67" i="3"/>
  <c r="BU59" i="3"/>
  <c r="Y59" i="3"/>
  <c r="AS59" i="3"/>
  <c r="AI59" i="3"/>
  <c r="BC59" i="3"/>
  <c r="BU51" i="3"/>
  <c r="Y51" i="3"/>
  <c r="BC51" i="3"/>
  <c r="AS51" i="3"/>
  <c r="AI51" i="3"/>
  <c r="BU43" i="3"/>
  <c r="Y43" i="3"/>
  <c r="AS43" i="3"/>
  <c r="BC43" i="3"/>
  <c r="AI43" i="3"/>
  <c r="BU35" i="3"/>
  <c r="AI35" i="3"/>
  <c r="Y35" i="3"/>
  <c r="BC35" i="3"/>
  <c r="AS35" i="3"/>
  <c r="BU27" i="3"/>
  <c r="Y27" i="3"/>
  <c r="AS27" i="3"/>
  <c r="BC27" i="3"/>
  <c r="AI27" i="3"/>
  <c r="BU19" i="3"/>
  <c r="Y19" i="3"/>
  <c r="BC19" i="3"/>
  <c r="AS19" i="3"/>
  <c r="AI19" i="3"/>
  <c r="BU107" i="3"/>
  <c r="BC107" i="3"/>
  <c r="Y107" i="3"/>
  <c r="AS107" i="3"/>
  <c r="AI107" i="3"/>
  <c r="BU21" i="3"/>
  <c r="Y21" i="3"/>
  <c r="BC21" i="3"/>
  <c r="AI21" i="3"/>
  <c r="AS21" i="3"/>
  <c r="BU18" i="3"/>
  <c r="AS18" i="3"/>
  <c r="BC18" i="3"/>
  <c r="AI18" i="3"/>
  <c r="Y18" i="3"/>
  <c r="BU115" i="3"/>
  <c r="AS115" i="3"/>
  <c r="Y115" i="3"/>
  <c r="AI115" i="3"/>
  <c r="BC115" i="3"/>
  <c r="BU13" i="3"/>
  <c r="Y13" i="3"/>
  <c r="BC13" i="3"/>
  <c r="AS13" i="3"/>
  <c r="AI13" i="3"/>
  <c r="BU146" i="3"/>
  <c r="AI146" i="3"/>
  <c r="BC146" i="3"/>
  <c r="AS146" i="3"/>
  <c r="Y146" i="3"/>
  <c r="BU120" i="3"/>
  <c r="Y120" i="3"/>
  <c r="AI120" i="3"/>
  <c r="AS120" i="3"/>
  <c r="BC120" i="3"/>
  <c r="BU96" i="3"/>
  <c r="AS96" i="3"/>
  <c r="AI96" i="3"/>
  <c r="BC96" i="3"/>
  <c r="Y96" i="3"/>
  <c r="BU58" i="3"/>
  <c r="AS58" i="3"/>
  <c r="BC58" i="3"/>
  <c r="Y58" i="3"/>
  <c r="AI58" i="3"/>
  <c r="BU26" i="3"/>
  <c r="AS26" i="3"/>
  <c r="AI26" i="3"/>
  <c r="BC26" i="3"/>
  <c r="Y26" i="3"/>
  <c r="BU145" i="3"/>
  <c r="AI145" i="3"/>
  <c r="AS145" i="3"/>
  <c r="Y145" i="3"/>
  <c r="BC145" i="3"/>
  <c r="Y136" i="3"/>
  <c r="AS136" i="3"/>
  <c r="AI136" i="3"/>
  <c r="BC136" i="3"/>
  <c r="BU127" i="3"/>
  <c r="BC127" i="3"/>
  <c r="Y127" i="3"/>
  <c r="AI127" i="3"/>
  <c r="AS127" i="3"/>
  <c r="BU119" i="3"/>
  <c r="BC119" i="3"/>
  <c r="Y119" i="3"/>
  <c r="AI119" i="3"/>
  <c r="AS119" i="3"/>
  <c r="BC111" i="3"/>
  <c r="AI111" i="3"/>
  <c r="Y111" i="3"/>
  <c r="BU103" i="3"/>
  <c r="BC103" i="3"/>
  <c r="AS103" i="3"/>
  <c r="AI103" i="3"/>
  <c r="Y103" i="3"/>
  <c r="BU95" i="3"/>
  <c r="BC95" i="3"/>
  <c r="AS95" i="3"/>
  <c r="AI95" i="3"/>
  <c r="Y95" i="3"/>
  <c r="BU75" i="3"/>
  <c r="Y75" i="3"/>
  <c r="BC75" i="3"/>
  <c r="AS75" i="3"/>
  <c r="AI75" i="3"/>
  <c r="BU65" i="3"/>
  <c r="AS65" i="3"/>
  <c r="BC65" i="3"/>
  <c r="AI65" i="3"/>
  <c r="Y65" i="3"/>
  <c r="BU57" i="3"/>
  <c r="AS57" i="3"/>
  <c r="BC57" i="3"/>
  <c r="AI57" i="3"/>
  <c r="Y57" i="3"/>
  <c r="BU49" i="3"/>
  <c r="AS49" i="3"/>
  <c r="BC49" i="3"/>
  <c r="AI49" i="3"/>
  <c r="Y49" i="3"/>
  <c r="AS41" i="3"/>
  <c r="BC41" i="3"/>
  <c r="AI41" i="3"/>
  <c r="Y41" i="3"/>
  <c r="BU33" i="3"/>
  <c r="AS33" i="3"/>
  <c r="BC33" i="3"/>
  <c r="AI33" i="3"/>
  <c r="Y33" i="3"/>
  <c r="BU25" i="3"/>
  <c r="AS25" i="3"/>
  <c r="AI25" i="3"/>
  <c r="BC25" i="3"/>
  <c r="Y25" i="3"/>
  <c r="BU17" i="3"/>
  <c r="AS17" i="3"/>
  <c r="BC17" i="3"/>
  <c r="AI17" i="3"/>
  <c r="Y17" i="3"/>
  <c r="AS123" i="3"/>
  <c r="BC123" i="3"/>
  <c r="AI123" i="3"/>
  <c r="Y123" i="3"/>
  <c r="BU53" i="3"/>
  <c r="AI53" i="3"/>
  <c r="Y53" i="3"/>
  <c r="BC53" i="3"/>
  <c r="AS53" i="3"/>
  <c r="BU112" i="3"/>
  <c r="AI112" i="3"/>
  <c r="BC112" i="3"/>
  <c r="Y112" i="3"/>
  <c r="AS112" i="3"/>
  <c r="BU50" i="3"/>
  <c r="AS50" i="3"/>
  <c r="BC50" i="3"/>
  <c r="Y50" i="3"/>
  <c r="AI50" i="3"/>
  <c r="BU102" i="3"/>
  <c r="BC102" i="3"/>
  <c r="Y102" i="3"/>
  <c r="AS102" i="3"/>
  <c r="AI102" i="3"/>
  <c r="BU74" i="3"/>
  <c r="AS74" i="3"/>
  <c r="BC74" i="3"/>
  <c r="Y74" i="3"/>
  <c r="AI74" i="3"/>
  <c r="BU64" i="3"/>
  <c r="AS64" i="3"/>
  <c r="BC64" i="3"/>
  <c r="AI64" i="3"/>
  <c r="Y64" i="3"/>
  <c r="BU40" i="3"/>
  <c r="AS40" i="3"/>
  <c r="BC40" i="3"/>
  <c r="AI40" i="3"/>
  <c r="Y40" i="3"/>
  <c r="BU16" i="3"/>
  <c r="AS16" i="3"/>
  <c r="BC16" i="3"/>
  <c r="AI16" i="3"/>
  <c r="Y16" i="3"/>
  <c r="BU154" i="3"/>
  <c r="Y154" i="3"/>
  <c r="AS154" i="3"/>
  <c r="AI154" i="3"/>
  <c r="BC154" i="3"/>
  <c r="Y99" i="3"/>
  <c r="AS99" i="3"/>
  <c r="AI99" i="3"/>
  <c r="BC99" i="3"/>
  <c r="BU71" i="3"/>
  <c r="BC71" i="3"/>
  <c r="AI71" i="3"/>
  <c r="Y71" i="3"/>
  <c r="AS71" i="3"/>
  <c r="BU29" i="3"/>
  <c r="Y29" i="3"/>
  <c r="BC29" i="3"/>
  <c r="AI29" i="3"/>
  <c r="AS29" i="3"/>
  <c r="AI137" i="3"/>
  <c r="AS137" i="3"/>
  <c r="Y137" i="3"/>
  <c r="BC137" i="3"/>
  <c r="BU104" i="3"/>
  <c r="AS104" i="3"/>
  <c r="AI104" i="3"/>
  <c r="BC104" i="3"/>
  <c r="Y104" i="3"/>
  <c r="BU76" i="3"/>
  <c r="Y76" i="3"/>
  <c r="AS76" i="3"/>
  <c r="AI76" i="3"/>
  <c r="BC76" i="3"/>
  <c r="BU42" i="3"/>
  <c r="AS42" i="3"/>
  <c r="BC42" i="3"/>
  <c r="Y42" i="3"/>
  <c r="AI42" i="3"/>
  <c r="BU144" i="3"/>
  <c r="Y144" i="3"/>
  <c r="AI144" i="3"/>
  <c r="AS144" i="3"/>
  <c r="BC144" i="3"/>
  <c r="BC135" i="3"/>
  <c r="Y135" i="3"/>
  <c r="AI135" i="3"/>
  <c r="AS135" i="3"/>
  <c r="BU126" i="3"/>
  <c r="BC126" i="3"/>
  <c r="Y126" i="3"/>
  <c r="AI126" i="3"/>
  <c r="AS126" i="3"/>
  <c r="BU118" i="3"/>
  <c r="BC118" i="3"/>
  <c r="Y118" i="3"/>
  <c r="AS118" i="3"/>
  <c r="AI118" i="3"/>
  <c r="BU110" i="3"/>
  <c r="BC110" i="3"/>
  <c r="Y110" i="3"/>
  <c r="AS110" i="3"/>
  <c r="AI110" i="3"/>
  <c r="BU56" i="3"/>
  <c r="AS56" i="3"/>
  <c r="BC56" i="3"/>
  <c r="AI56" i="3"/>
  <c r="Y56" i="3"/>
  <c r="BU48" i="3"/>
  <c r="AS48" i="3"/>
  <c r="BC48" i="3"/>
  <c r="AI48" i="3"/>
  <c r="Y48" i="3"/>
  <c r="BU32" i="3"/>
  <c r="AS32" i="3"/>
  <c r="BC32" i="3"/>
  <c r="AI32" i="3"/>
  <c r="Y32" i="3"/>
  <c r="BU24" i="3"/>
  <c r="AS24" i="3"/>
  <c r="AI24" i="3"/>
  <c r="BC24" i="3"/>
  <c r="Y24" i="3"/>
  <c r="BU8" i="3"/>
  <c r="AI8" i="3"/>
  <c r="AS8" i="3"/>
  <c r="BC8" i="3"/>
  <c r="Y8" i="3"/>
  <c r="BU143" i="3"/>
  <c r="BC143" i="3"/>
  <c r="Y143" i="3"/>
  <c r="AI143" i="3"/>
  <c r="AS143" i="3"/>
  <c r="BU134" i="3"/>
  <c r="BC134" i="3"/>
  <c r="Y134" i="3"/>
  <c r="AI134" i="3"/>
  <c r="AS134" i="3"/>
  <c r="BU125" i="3"/>
  <c r="AS125" i="3"/>
  <c r="BC125" i="3"/>
  <c r="Y125" i="3"/>
  <c r="AI125" i="3"/>
  <c r="BU109" i="3"/>
  <c r="Y109" i="3"/>
  <c r="BC109" i="3"/>
  <c r="AS109" i="3"/>
  <c r="AI109" i="3"/>
  <c r="Y101" i="3"/>
  <c r="BC101" i="3"/>
  <c r="AS101" i="3"/>
  <c r="AI101" i="3"/>
  <c r="BU91" i="3"/>
  <c r="BC91" i="3"/>
  <c r="AS91" i="3"/>
  <c r="AI91" i="3"/>
  <c r="Y91" i="3"/>
  <c r="BU73" i="3"/>
  <c r="AS73" i="3"/>
  <c r="BC73" i="3"/>
  <c r="AI73" i="3"/>
  <c r="Y73" i="3"/>
  <c r="BU63" i="3"/>
  <c r="BC63" i="3"/>
  <c r="AI63" i="3"/>
  <c r="Y63" i="3"/>
  <c r="AS63" i="3"/>
  <c r="BU55" i="3"/>
  <c r="BC55" i="3"/>
  <c r="AI55" i="3"/>
  <c r="Y55" i="3"/>
  <c r="AS55" i="3"/>
  <c r="BU47" i="3"/>
  <c r="BC47" i="3"/>
  <c r="AI47" i="3"/>
  <c r="Y47" i="3"/>
  <c r="AS47" i="3"/>
  <c r="BU39" i="3"/>
  <c r="BC39" i="3"/>
  <c r="AI39" i="3"/>
  <c r="Y39" i="3"/>
  <c r="AS39" i="3"/>
  <c r="BU31" i="3"/>
  <c r="BC31" i="3"/>
  <c r="AI31" i="3"/>
  <c r="Y31" i="3"/>
  <c r="AS31" i="3"/>
  <c r="BU23" i="3"/>
  <c r="BC23" i="3"/>
  <c r="AI23" i="3"/>
  <c r="Y23" i="3"/>
  <c r="AS23" i="3"/>
  <c r="BU15" i="3"/>
  <c r="BC15" i="3"/>
  <c r="AI15" i="3"/>
  <c r="Y15" i="3"/>
  <c r="AS15" i="3"/>
  <c r="BU132" i="3"/>
  <c r="AS132" i="3"/>
  <c r="BC132" i="3"/>
  <c r="Y132" i="3"/>
  <c r="AI132" i="3"/>
  <c r="BU45" i="3"/>
  <c r="Y45" i="3"/>
  <c r="BC45" i="3"/>
  <c r="AI45" i="3"/>
  <c r="AS45" i="3"/>
  <c r="BU128" i="3"/>
  <c r="Y128" i="3"/>
  <c r="AI128" i="3"/>
  <c r="AS128" i="3"/>
  <c r="BC128" i="3"/>
  <c r="BU66" i="3"/>
  <c r="AS66" i="3"/>
  <c r="BC66" i="3"/>
  <c r="Y66" i="3"/>
  <c r="AI66" i="3"/>
  <c r="BU34" i="3"/>
  <c r="AS34" i="3"/>
  <c r="BC34" i="3"/>
  <c r="AI34" i="3"/>
  <c r="Y34" i="3"/>
  <c r="BU9" i="3"/>
  <c r="AS9" i="3"/>
  <c r="BC9" i="3"/>
  <c r="AI9" i="3"/>
  <c r="Y9" i="3"/>
  <c r="BU142" i="3"/>
  <c r="BC142" i="3"/>
  <c r="Y142" i="3"/>
  <c r="AI142" i="3"/>
  <c r="AS142" i="3"/>
  <c r="BU133" i="3"/>
  <c r="AS133" i="3"/>
  <c r="BC133" i="3"/>
  <c r="Y133" i="3"/>
  <c r="AI133" i="3"/>
  <c r="BU124" i="3"/>
  <c r="AS124" i="3"/>
  <c r="BC124" i="3"/>
  <c r="Y124" i="3"/>
  <c r="AI124" i="3"/>
  <c r="BU116" i="3"/>
  <c r="AS116" i="3"/>
  <c r="Y116" i="3"/>
  <c r="AI116" i="3"/>
  <c r="BC116" i="3"/>
  <c r="BU108" i="3"/>
  <c r="Y108" i="3"/>
  <c r="AS108" i="3"/>
  <c r="AI108" i="3"/>
  <c r="BC108" i="3"/>
  <c r="BU100" i="3"/>
  <c r="Y100" i="3"/>
  <c r="AS100" i="3"/>
  <c r="AI100" i="3"/>
  <c r="BC100" i="3"/>
  <c r="BU90" i="3"/>
  <c r="AI90" i="3"/>
  <c r="AS90" i="3"/>
  <c r="BC90" i="3"/>
  <c r="Y90" i="3"/>
  <c r="BU72" i="3"/>
  <c r="AS72" i="3"/>
  <c r="BC72" i="3"/>
  <c r="AI72" i="3"/>
  <c r="Y72" i="3"/>
  <c r="BU62" i="3"/>
  <c r="BC62" i="3"/>
  <c r="AI62" i="3"/>
  <c r="Y62" i="3"/>
  <c r="AS62" i="3"/>
  <c r="BU54" i="3"/>
  <c r="BC54" i="3"/>
  <c r="Y54" i="3"/>
  <c r="AI54" i="3"/>
  <c r="AS54" i="3"/>
  <c r="BU46" i="3"/>
  <c r="BC46" i="3"/>
  <c r="AI46" i="3"/>
  <c r="Y46" i="3"/>
  <c r="AS46" i="3"/>
  <c r="BU38" i="3"/>
  <c r="BC38" i="3"/>
  <c r="AI38" i="3"/>
  <c r="Y38" i="3"/>
  <c r="AS38" i="3"/>
  <c r="BU30" i="3"/>
  <c r="BC30" i="3"/>
  <c r="AI30" i="3"/>
  <c r="Y30" i="3"/>
  <c r="AS30" i="3"/>
  <c r="BU22" i="3"/>
  <c r="BC22" i="3"/>
  <c r="AI22" i="3"/>
  <c r="Y22" i="3"/>
  <c r="AS22" i="3"/>
  <c r="BU14" i="3"/>
  <c r="BC14" i="3"/>
  <c r="Y14" i="3"/>
  <c r="AI14" i="3"/>
  <c r="AS14" i="3"/>
  <c r="X210" i="15"/>
  <c r="AE12" i="28"/>
  <c r="AJ12" i="28" s="1"/>
  <c r="AA155" i="15"/>
  <c r="X6" i="28"/>
  <c r="X14" i="28"/>
  <c r="AL14" i="28"/>
  <c r="AA223" i="15"/>
  <c r="AA224" i="15" s="1"/>
  <c r="AN9" i="27" s="1"/>
  <c r="AA218" i="15"/>
  <c r="AA146" i="15"/>
  <c r="X11" i="29"/>
  <c r="AL11" i="29"/>
  <c r="AA177" i="15"/>
  <c r="AA167" i="15"/>
  <c r="AA206" i="15"/>
  <c r="T155" i="15"/>
  <c r="T177" i="15"/>
  <c r="T223" i="15"/>
  <c r="T224" i="15" s="1"/>
  <c r="Y9" i="27" s="1"/>
  <c r="T218" i="15"/>
  <c r="T146" i="15"/>
  <c r="T167" i="15"/>
  <c r="T206" i="15"/>
  <c r="Q11" i="29"/>
  <c r="R11" i="29" s="1"/>
  <c r="F12" i="28"/>
  <c r="AG218" i="15"/>
  <c r="AE210" i="15"/>
  <c r="AE146" i="15"/>
  <c r="AG206" i="15"/>
  <c r="AG223" i="15"/>
  <c r="AG224" i="15" s="1"/>
  <c r="BB9" i="27" s="1"/>
  <c r="BF9" i="27" s="1"/>
  <c r="AE108" i="15"/>
  <c r="BH7" i="27"/>
  <c r="AD178" i="15"/>
  <c r="Q14" i="28"/>
  <c r="AG155" i="15"/>
  <c r="AS12" i="28"/>
  <c r="W6" i="28"/>
  <c r="AE11" i="29"/>
  <c r="Q6" i="28"/>
  <c r="Q8" i="28"/>
  <c r="Q8" i="29"/>
  <c r="AE218" i="15"/>
  <c r="Q220" i="15"/>
  <c r="Q223" i="15" s="1"/>
  <c r="Q224" i="15" s="1"/>
  <c r="R9" i="27" s="1"/>
  <c r="AE9" i="27"/>
  <c r="AE14" i="28"/>
  <c r="AY14" i="28"/>
  <c r="AE7" i="27"/>
  <c r="Q13" i="28"/>
  <c r="W11" i="29"/>
  <c r="AK11" i="29"/>
  <c r="AS11" i="29"/>
  <c r="AE177" i="15"/>
  <c r="W14" i="28"/>
  <c r="AK14" i="28"/>
  <c r="AE6" i="28"/>
  <c r="AE7" i="29"/>
  <c r="AE8" i="28"/>
  <c r="AE8" i="29"/>
  <c r="AE15" i="15"/>
  <c r="X220" i="15"/>
  <c r="X223" i="15" s="1"/>
  <c r="X224" i="15" s="1"/>
  <c r="AG9" i="27" s="1"/>
  <c r="AT9" i="27"/>
  <c r="AS14" i="28"/>
  <c r="AG179" i="15"/>
  <c r="AG124" i="15"/>
  <c r="AG146" i="15" s="1"/>
  <c r="AF146" i="15"/>
  <c r="AG167" i="15"/>
  <c r="AE179" i="15"/>
  <c r="AS7" i="28" s="1"/>
  <c r="AE206" i="15"/>
  <c r="Q12" i="28"/>
  <c r="AG177" i="15"/>
  <c r="AY11" i="29"/>
  <c r="AF178" i="15"/>
  <c r="AG108" i="15"/>
  <c r="AS6" i="28"/>
  <c r="AS7" i="29"/>
  <c r="AE65" i="15"/>
  <c r="AE106" i="15"/>
  <c r="AS8" i="29"/>
  <c r="AS8" i="28"/>
  <c r="AE220" i="15"/>
  <c r="AE223" i="15" s="1"/>
  <c r="AE224" i="15" s="1"/>
  <c r="AV9" i="27" s="1"/>
  <c r="BH9" i="27"/>
  <c r="Z155" i="15"/>
  <c r="X218" i="15"/>
  <c r="X177" i="15"/>
  <c r="X65" i="15"/>
  <c r="Z206" i="15"/>
  <c r="Z146" i="15"/>
  <c r="Z179" i="15"/>
  <c r="AA179" i="15" s="1"/>
  <c r="Y178" i="15"/>
  <c r="Z108" i="15"/>
  <c r="AA108" i="15" s="1"/>
  <c r="Q65" i="15"/>
  <c r="X15" i="15"/>
  <c r="X179" i="15"/>
  <c r="AE7" i="28" s="1"/>
  <c r="X146" i="15"/>
  <c r="Z177" i="15"/>
  <c r="Z223" i="15"/>
  <c r="Z224" i="15" s="1"/>
  <c r="AM9" i="27" s="1"/>
  <c r="X106" i="15"/>
  <c r="Z218" i="15"/>
  <c r="W178" i="15"/>
  <c r="X108" i="15"/>
  <c r="Z167" i="15"/>
  <c r="Q177" i="15"/>
  <c r="Q167" i="15"/>
  <c r="Q210" i="15"/>
  <c r="S155" i="15"/>
  <c r="Q179" i="15"/>
  <c r="Q146" i="15"/>
  <c r="Q206" i="15"/>
  <c r="S108" i="15"/>
  <c r="T108" i="15" s="1"/>
  <c r="T123" i="15" s="1"/>
  <c r="Q106" i="15"/>
  <c r="S177" i="15"/>
  <c r="Q108" i="15"/>
  <c r="Q123" i="15" s="1"/>
  <c r="S223" i="15"/>
  <c r="S218" i="15"/>
  <c r="S146" i="15"/>
  <c r="S179" i="15"/>
  <c r="T179" i="15" s="1"/>
  <c r="Q15" i="15"/>
  <c r="S167" i="15"/>
  <c r="S206" i="15"/>
  <c r="Q218" i="15"/>
  <c r="P155" i="15"/>
  <c r="Q147" i="15"/>
  <c r="Q155" i="15" s="1"/>
  <c r="P123" i="15"/>
  <c r="P177" i="15"/>
  <c r="P167" i="15"/>
  <c r="P146" i="15"/>
  <c r="Y123" i="15"/>
  <c r="AF123" i="15"/>
  <c r="I155" i="15"/>
  <c r="V6" i="18"/>
  <c r="P6" i="18"/>
  <c r="Q6" i="18" s="1"/>
  <c r="R123" i="15"/>
  <c r="R146" i="15"/>
  <c r="BU123" i="3"/>
  <c r="P210" i="15"/>
  <c r="P218" i="15"/>
  <c r="C6" i="18"/>
  <c r="P206" i="15"/>
  <c r="R206" i="15"/>
  <c r="AP7" i="18"/>
  <c r="R177" i="15"/>
  <c r="K123" i="15"/>
  <c r="K194" i="15"/>
  <c r="K203" i="15" s="1"/>
  <c r="P65" i="15"/>
  <c r="P7" i="18"/>
  <c r="P194" i="15"/>
  <c r="AE8" i="27" s="1"/>
  <c r="AC6" i="18"/>
  <c r="AC7" i="18"/>
  <c r="W194" i="15"/>
  <c r="AT8" i="27" s="1"/>
  <c r="I194" i="15"/>
  <c r="I203" i="15" s="1"/>
  <c r="I218" i="15"/>
  <c r="AP6" i="18"/>
  <c r="AD123" i="15"/>
  <c r="AD194" i="15"/>
  <c r="BH8" i="27" s="1"/>
  <c r="R194" i="15"/>
  <c r="Y194" i="15"/>
  <c r="AF194" i="15"/>
  <c r="R155" i="15"/>
  <c r="P8" i="18"/>
  <c r="Q8" i="18" s="1"/>
  <c r="R223" i="15"/>
  <c r="R218" i="15"/>
  <c r="P13" i="18"/>
  <c r="R167" i="15"/>
  <c r="P106" i="15"/>
  <c r="W123" i="15"/>
  <c r="AF8" i="3"/>
  <c r="V166" i="3"/>
  <c r="V168" i="3" s="1"/>
  <c r="V14" i="18"/>
  <c r="P14" i="18"/>
  <c r="P12" i="18"/>
  <c r="AM93" i="3"/>
  <c r="BN93" i="3"/>
  <c r="AA92" i="3"/>
  <c r="H15" i="15" s="1"/>
  <c r="AK92" i="3"/>
  <c r="K218" i="15"/>
  <c r="Y167" i="15"/>
  <c r="K167" i="15"/>
  <c r="AF167" i="15"/>
  <c r="I206" i="15"/>
  <c r="J224" i="15"/>
  <c r="BJ44" i="3"/>
  <c r="AF63" i="15" s="1"/>
  <c r="AG63" i="15" s="1"/>
  <c r="Z44" i="3"/>
  <c r="I177" i="15"/>
  <c r="K206" i="15"/>
  <c r="K223" i="15"/>
  <c r="K224" i="15" s="1"/>
  <c r="I146" i="15"/>
  <c r="K155" i="15"/>
  <c r="K177" i="15"/>
  <c r="I167" i="15"/>
  <c r="C8" i="18"/>
  <c r="O97" i="15"/>
  <c r="P97" i="15"/>
  <c r="AC97" i="15"/>
  <c r="W97" i="15"/>
  <c r="AD97" i="15"/>
  <c r="V97" i="15"/>
  <c r="BU41" i="3"/>
  <c r="BU101" i="3"/>
  <c r="BU99" i="3"/>
  <c r="BU98" i="3"/>
  <c r="BU139" i="3"/>
  <c r="BU137" i="3"/>
  <c r="BU136" i="3"/>
  <c r="BU135" i="3"/>
  <c r="K146" i="15"/>
  <c r="K67" i="15"/>
  <c r="AP73" i="3"/>
  <c r="Z73" i="3"/>
  <c r="AF104" i="15"/>
  <c r="AG104" i="15" s="1"/>
  <c r="BJ109" i="3"/>
  <c r="AF21" i="15" s="1"/>
  <c r="AG21" i="15" s="1"/>
  <c r="Z109" i="3"/>
  <c r="AA109" i="3" s="1"/>
  <c r="H21" i="15" s="1"/>
  <c r="Y66" i="15"/>
  <c r="Z66" i="15" s="1"/>
  <c r="AA66" i="15" s="1"/>
  <c r="V75" i="15"/>
  <c r="Z108" i="3"/>
  <c r="AT108" i="3"/>
  <c r="AX108" i="3" s="1"/>
  <c r="AP145" i="3"/>
  <c r="R18" i="15" s="1"/>
  <c r="S18" i="15" s="1"/>
  <c r="AZ105" i="3"/>
  <c r="BJ107" i="3"/>
  <c r="AF30" i="15" s="1"/>
  <c r="AG30" i="15" s="1"/>
  <c r="AF107" i="3"/>
  <c r="K30" i="15" s="1"/>
  <c r="BJ146" i="3"/>
  <c r="AP146" i="3"/>
  <c r="AD155" i="15"/>
  <c r="BJ52" i="3"/>
  <c r="AF100" i="15" s="1"/>
  <c r="AG100" i="15" s="1"/>
  <c r="AZ52" i="3"/>
  <c r="Y100" i="15" s="1"/>
  <c r="Z100" i="15" s="1"/>
  <c r="AA100" i="15" s="1"/>
  <c r="R100" i="15"/>
  <c r="S100" i="15" s="1"/>
  <c r="K100" i="15"/>
  <c r="W155" i="15"/>
  <c r="BJ93" i="3"/>
  <c r="AF16" i="15" s="1"/>
  <c r="AG16" i="15" s="1"/>
  <c r="AA93" i="3"/>
  <c r="H16" i="15" s="1"/>
  <c r="BU94" i="3"/>
  <c r="BU93" i="3"/>
  <c r="AV14" i="18"/>
  <c r="I14" i="18"/>
  <c r="AC14" i="18"/>
  <c r="AP14" i="18"/>
  <c r="AI14" i="18"/>
  <c r="C14" i="18"/>
  <c r="AS111" i="3"/>
  <c r="BU111" i="3"/>
  <c r="AD99" i="3"/>
  <c r="H23" i="15" s="1"/>
  <c r="BV99" i="3"/>
  <c r="AP8" i="18"/>
  <c r="AP12" i="18"/>
  <c r="AC8" i="18"/>
  <c r="AC12" i="18"/>
  <c r="C12" i="18"/>
  <c r="AF22" i="15"/>
  <c r="AG22" i="15" s="1"/>
  <c r="W22" i="15"/>
  <c r="X22" i="15" s="1"/>
  <c r="P22" i="15"/>
  <c r="Q22" i="15" s="1"/>
  <c r="AD22" i="15"/>
  <c r="AE22" i="15" s="1"/>
  <c r="AD106" i="15"/>
  <c r="W106" i="15"/>
  <c r="W65" i="15"/>
  <c r="AD65" i="15"/>
  <c r="AF206" i="15"/>
  <c r="AD206" i="15"/>
  <c r="AD177" i="15"/>
  <c r="W223" i="15"/>
  <c r="W224" i="15" s="1"/>
  <c r="AC9" i="17" s="1"/>
  <c r="W206" i="15"/>
  <c r="AF223" i="15"/>
  <c r="AF224" i="15" s="1"/>
  <c r="AV9" i="17" s="1"/>
  <c r="AD223" i="15"/>
  <c r="AD224" i="15" s="1"/>
  <c r="AP9" i="17" s="1"/>
  <c r="Y223" i="15"/>
  <c r="Y224" i="15" s="1"/>
  <c r="AI9" i="17" s="1"/>
  <c r="Y177" i="15"/>
  <c r="W177" i="15"/>
  <c r="W210" i="15"/>
  <c r="Y218" i="15"/>
  <c r="AF218" i="15"/>
  <c r="W218" i="15"/>
  <c r="AD218" i="15"/>
  <c r="AD210" i="15"/>
  <c r="Y206" i="15"/>
  <c r="AF177" i="15"/>
  <c r="Y155" i="15"/>
  <c r="AF155" i="15"/>
  <c r="Y146" i="15"/>
  <c r="W146" i="15"/>
  <c r="AD146" i="15"/>
  <c r="AZ33" i="3"/>
  <c r="Y56" i="15" s="1"/>
  <c r="Z56" i="15" s="1"/>
  <c r="AA56" i="15" s="1"/>
  <c r="BJ33" i="3"/>
  <c r="AF56" i="15" s="1"/>
  <c r="AG56" i="15" s="1"/>
  <c r="AP33" i="3"/>
  <c r="R56" i="15" s="1"/>
  <c r="S56" i="15" s="1"/>
  <c r="T56" i="15" s="1"/>
  <c r="AF114" i="3"/>
  <c r="AP78" i="3"/>
  <c r="O75" i="15"/>
  <c r="BD109" i="3"/>
  <c r="BS109" i="3" s="1"/>
  <c r="AD21" i="15" s="1"/>
  <c r="AE21" i="15" s="1"/>
  <c r="BM153" i="3"/>
  <c r="I81" i="15" s="1"/>
  <c r="AD153" i="3"/>
  <c r="H81" i="15" s="1"/>
  <c r="Z93" i="3"/>
  <c r="BV93" i="3" s="1"/>
  <c r="BV111" i="3"/>
  <c r="K104" i="15"/>
  <c r="AF48" i="3"/>
  <c r="K99" i="15" s="1"/>
  <c r="AP56" i="3"/>
  <c r="Z125" i="3"/>
  <c r="BV125" i="3" s="1"/>
  <c r="AP36" i="3"/>
  <c r="R59" i="15" s="1"/>
  <c r="S59" i="15" s="1"/>
  <c r="T59" i="15" s="1"/>
  <c r="Z126" i="3"/>
  <c r="AP102" i="3"/>
  <c r="R26" i="15" s="1"/>
  <c r="S26" i="15" s="1"/>
  <c r="T26" i="15" s="1"/>
  <c r="AP13" i="3"/>
  <c r="Z132" i="3"/>
  <c r="Z150" i="3"/>
  <c r="BV150" i="3" s="1"/>
  <c r="AC75" i="15"/>
  <c r="AJ109" i="3"/>
  <c r="AK109" i="3" s="1"/>
  <c r="AF135" i="3"/>
  <c r="K94" i="15" s="1"/>
  <c r="AP122" i="3"/>
  <c r="AT109" i="3"/>
  <c r="Z154" i="3"/>
  <c r="BV154" i="3" s="1"/>
  <c r="AZ141" i="3"/>
  <c r="BJ8" i="3"/>
  <c r="AF141" i="3"/>
  <c r="AF118" i="3"/>
  <c r="AF98" i="3"/>
  <c r="AF74" i="3"/>
  <c r="K55" i="15"/>
  <c r="AP106" i="3"/>
  <c r="R69" i="15"/>
  <c r="S69" i="15" s="1"/>
  <c r="T69" i="15" s="1"/>
  <c r="AP61" i="3"/>
  <c r="AP40" i="3"/>
  <c r="R61" i="15" s="1"/>
  <c r="S61" i="15" s="1"/>
  <c r="T61" i="15" s="1"/>
  <c r="AP20" i="3"/>
  <c r="R43" i="15" s="1"/>
  <c r="S43" i="15" s="1"/>
  <c r="T43" i="15" s="1"/>
  <c r="AF150" i="3"/>
  <c r="K78" i="15" s="1"/>
  <c r="AZ91" i="3"/>
  <c r="AF9" i="3"/>
  <c r="K35" i="15" s="1"/>
  <c r="AF140" i="3"/>
  <c r="AF115" i="3"/>
  <c r="AF94" i="3"/>
  <c r="K17" i="15" s="1"/>
  <c r="AF73" i="3"/>
  <c r="AF49" i="3"/>
  <c r="AF28" i="3"/>
  <c r="K51" i="15" s="1"/>
  <c r="AP126" i="3"/>
  <c r="R86" i="15" s="1"/>
  <c r="S86" i="15" s="1"/>
  <c r="T86" i="15" s="1"/>
  <c r="AP103" i="3"/>
  <c r="R19" i="15" s="1"/>
  <c r="S19" i="15" s="1"/>
  <c r="T19" i="15" s="1"/>
  <c r="R67" i="15"/>
  <c r="S67" i="15" s="1"/>
  <c r="T67" i="15" s="1"/>
  <c r="AP60" i="3"/>
  <c r="AP37" i="3"/>
  <c r="R60" i="15" s="1"/>
  <c r="S60" i="15" s="1"/>
  <c r="T60" i="15" s="1"/>
  <c r="AP16" i="3"/>
  <c r="R39" i="15" s="1"/>
  <c r="S39" i="15" s="1"/>
  <c r="T39" i="15" s="1"/>
  <c r="AF145" i="3"/>
  <c r="K18" i="15" s="1"/>
  <c r="AZ74" i="3"/>
  <c r="BJ49" i="3"/>
  <c r="AZ57" i="3"/>
  <c r="AF132" i="3"/>
  <c r="K91" i="15" s="1"/>
  <c r="AF110" i="3"/>
  <c r="K28" i="15" s="1"/>
  <c r="AF90" i="3"/>
  <c r="AF65" i="3"/>
  <c r="AF44" i="3"/>
  <c r="K63" i="15" s="1"/>
  <c r="AF24" i="3"/>
  <c r="K47" i="15" s="1"/>
  <c r="AP119" i="3"/>
  <c r="AP77" i="3"/>
  <c r="AP53" i="3"/>
  <c r="R101" i="15" s="1"/>
  <c r="S101" i="15" s="1"/>
  <c r="T101" i="15" s="1"/>
  <c r="AP12" i="3"/>
  <c r="AZ135" i="3"/>
  <c r="Y94" i="15" s="1"/>
  <c r="Z94" i="15" s="1"/>
  <c r="AA94" i="15" s="1"/>
  <c r="AZ41" i="3"/>
  <c r="Y62" i="15" s="1"/>
  <c r="Z62" i="15" s="1"/>
  <c r="AA62" i="15" s="1"/>
  <c r="AF68" i="15"/>
  <c r="AG68" i="15" s="1"/>
  <c r="AF91" i="3"/>
  <c r="AP8" i="3"/>
  <c r="K69" i="15"/>
  <c r="AF64" i="3"/>
  <c r="AF41" i="3"/>
  <c r="K62" i="15" s="1"/>
  <c r="AF20" i="3"/>
  <c r="K43" i="15" s="1"/>
  <c r="AP140" i="3"/>
  <c r="AP118" i="3"/>
  <c r="AP95" i="3"/>
  <c r="AP29" i="3"/>
  <c r="R52" i="15" s="1"/>
  <c r="S52" i="15" s="1"/>
  <c r="T52" i="15" s="1"/>
  <c r="AZ25" i="3"/>
  <c r="Y48" i="15" s="1"/>
  <c r="Z48" i="15" s="1"/>
  <c r="AA48" i="15" s="1"/>
  <c r="BJ99" i="3"/>
  <c r="AF23" i="15" s="1"/>
  <c r="AG23" i="15" s="1"/>
  <c r="BJ65" i="3"/>
  <c r="BJ9" i="3"/>
  <c r="AF35" i="15" s="1"/>
  <c r="AF126" i="3"/>
  <c r="K86" i="15" s="1"/>
  <c r="K68" i="15"/>
  <c r="AF60" i="3"/>
  <c r="AF17" i="3"/>
  <c r="K40" i="15" s="1"/>
  <c r="AP136" i="3"/>
  <c r="AP94" i="3"/>
  <c r="R17" i="15" s="1"/>
  <c r="S17" i="15" s="1"/>
  <c r="T17" i="15" s="1"/>
  <c r="AP70" i="3"/>
  <c r="AP28" i="3"/>
  <c r="R51" i="15" s="1"/>
  <c r="S51" i="15" s="1"/>
  <c r="T51" i="15" s="1"/>
  <c r="AZ126" i="3"/>
  <c r="Y86" i="15" s="1"/>
  <c r="Z86" i="15" s="1"/>
  <c r="AA86" i="15" s="1"/>
  <c r="BJ115" i="3"/>
  <c r="AF123" i="3"/>
  <c r="AF102" i="3"/>
  <c r="K26" i="15" s="1"/>
  <c r="AF57" i="3"/>
  <c r="AF36" i="3"/>
  <c r="K59" i="15" s="1"/>
  <c r="AP111" i="3"/>
  <c r="R29" i="15" s="1"/>
  <c r="S29" i="15" s="1"/>
  <c r="T29" i="15" s="1"/>
  <c r="AP45" i="3"/>
  <c r="AF144" i="3"/>
  <c r="AZ122" i="3"/>
  <c r="BJ132" i="3"/>
  <c r="AF91" i="15" s="1"/>
  <c r="AG91" i="15" s="1"/>
  <c r="AF25" i="3"/>
  <c r="K48" i="15" s="1"/>
  <c r="AF122" i="3"/>
  <c r="AF99" i="3"/>
  <c r="K23" i="15" s="1"/>
  <c r="AF77" i="3"/>
  <c r="AF33" i="3"/>
  <c r="K56" i="15" s="1"/>
  <c r="AF14" i="3"/>
  <c r="AP110" i="3"/>
  <c r="R28" i="15" s="1"/>
  <c r="S28" i="15" s="1"/>
  <c r="T28" i="15" s="1"/>
  <c r="R70" i="15"/>
  <c r="S70" i="15" s="1"/>
  <c r="T70" i="15" s="1"/>
  <c r="AP44" i="3"/>
  <c r="R63" i="15" s="1"/>
  <c r="S63" i="15" s="1"/>
  <c r="T63" i="15" s="1"/>
  <c r="AP21" i="3"/>
  <c r="R44" i="15" s="1"/>
  <c r="S44" i="15" s="1"/>
  <c r="T44" i="15" s="1"/>
  <c r="AZ107" i="3"/>
  <c r="Y30" i="15" s="1"/>
  <c r="Z30" i="15" s="1"/>
  <c r="AA30" i="15" s="1"/>
  <c r="BJ17" i="3"/>
  <c r="AF40" i="15" s="1"/>
  <c r="AG40" i="15" s="1"/>
  <c r="AZ148" i="3"/>
  <c r="BJ148" i="3"/>
  <c r="BJ116" i="3"/>
  <c r="AZ116" i="3"/>
  <c r="BJ100" i="3"/>
  <c r="AZ100" i="3"/>
  <c r="AF75" i="15"/>
  <c r="AG75" i="15" s="1"/>
  <c r="Y75" i="15"/>
  <c r="Z75" i="15" s="1"/>
  <c r="AA75" i="15" s="1"/>
  <c r="BJ66" i="3"/>
  <c r="AZ66" i="3"/>
  <c r="BJ50" i="3"/>
  <c r="AZ50" i="3"/>
  <c r="BJ34" i="3"/>
  <c r="AF57" i="15" s="1"/>
  <c r="AG57" i="15" s="1"/>
  <c r="AZ34" i="3"/>
  <c r="Y57" i="15" s="1"/>
  <c r="Z57" i="15" s="1"/>
  <c r="AA57" i="15" s="1"/>
  <c r="AZ112" i="3"/>
  <c r="AZ79" i="3"/>
  <c r="AZ46" i="3"/>
  <c r="AZ146" i="3"/>
  <c r="BJ39" i="3"/>
  <c r="BJ55" i="3"/>
  <c r="BJ72" i="3"/>
  <c r="AF72" i="15"/>
  <c r="AG72" i="15" s="1"/>
  <c r="BJ105" i="3"/>
  <c r="BJ121" i="3"/>
  <c r="AZ153" i="3"/>
  <c r="Y81" i="15" s="1"/>
  <c r="Z81" i="15" s="1"/>
  <c r="AA81" i="15" s="1"/>
  <c r="BJ153" i="3"/>
  <c r="AF81" i="15" s="1"/>
  <c r="AG81" i="15" s="1"/>
  <c r="AF143" i="3"/>
  <c r="AF125" i="3"/>
  <c r="K85" i="15" s="1"/>
  <c r="AF117" i="3"/>
  <c r="AF109" i="3"/>
  <c r="K21" i="15" s="1"/>
  <c r="AF101" i="3"/>
  <c r="K25" i="15" s="1"/>
  <c r="AF93" i="3"/>
  <c r="K16" i="15" s="1"/>
  <c r="K76" i="15"/>
  <c r="AF76" i="3"/>
  <c r="AF67" i="3"/>
  <c r="AF59" i="3"/>
  <c r="AF51" i="3"/>
  <c r="AF43" i="3"/>
  <c r="AF35" i="3"/>
  <c r="K58" i="15" s="1"/>
  <c r="AF27" i="3"/>
  <c r="K50" i="15" s="1"/>
  <c r="AF19" i="3"/>
  <c r="K42" i="15" s="1"/>
  <c r="AP139" i="3"/>
  <c r="R95" i="15" s="1"/>
  <c r="S95" i="15" s="1"/>
  <c r="T95" i="15" s="1"/>
  <c r="AP121" i="3"/>
  <c r="AP113" i="3"/>
  <c r="R31" i="15" s="1"/>
  <c r="S31" i="15" s="1"/>
  <c r="T31" i="15" s="1"/>
  <c r="AP105" i="3"/>
  <c r="AP97" i="3"/>
  <c r="R72" i="15"/>
  <c r="S72" i="15" s="1"/>
  <c r="T72" i="15" s="1"/>
  <c r="R66" i="15"/>
  <c r="S66" i="15" s="1"/>
  <c r="T66" i="15" s="1"/>
  <c r="AP72" i="3"/>
  <c r="AP63" i="3"/>
  <c r="R102" i="15" s="1"/>
  <c r="S102" i="15" s="1"/>
  <c r="T102" i="15" s="1"/>
  <c r="AP55" i="3"/>
  <c r="AP47" i="3"/>
  <c r="AP39" i="3"/>
  <c r="AP31" i="3"/>
  <c r="R54" i="15" s="1"/>
  <c r="S54" i="15" s="1"/>
  <c r="T54" i="15" s="1"/>
  <c r="AP23" i="3"/>
  <c r="R46" i="15" s="1"/>
  <c r="S46" i="15" s="1"/>
  <c r="T46" i="15" s="1"/>
  <c r="AP15" i="3"/>
  <c r="R38" i="15" s="1"/>
  <c r="S38" i="15" s="1"/>
  <c r="AF148" i="3"/>
  <c r="AZ140" i="3"/>
  <c r="AZ125" i="3"/>
  <c r="Y85" i="15" s="1"/>
  <c r="Z85" i="15" s="1"/>
  <c r="AA85" i="15" s="1"/>
  <c r="AZ110" i="3"/>
  <c r="Y28" i="15" s="1"/>
  <c r="Z28" i="15" s="1"/>
  <c r="AA28" i="15" s="1"/>
  <c r="AZ94" i="3"/>
  <c r="Y17" i="15" s="1"/>
  <c r="Z17" i="15" s="1"/>
  <c r="AA17" i="15" s="1"/>
  <c r="AZ77" i="3"/>
  <c r="AZ60" i="3"/>
  <c r="AZ44" i="3"/>
  <c r="Y63" i="15" s="1"/>
  <c r="Z63" i="15" s="1"/>
  <c r="AA63" i="15" s="1"/>
  <c r="AZ28" i="3"/>
  <c r="Y51" i="15" s="1"/>
  <c r="Z51" i="15" s="1"/>
  <c r="AA51" i="15" s="1"/>
  <c r="AZ12" i="3"/>
  <c r="AZ144" i="3"/>
  <c r="BJ21" i="3"/>
  <c r="AF44" i="15" s="1"/>
  <c r="AG44" i="15" s="1"/>
  <c r="BJ37" i="3"/>
  <c r="AF60" i="15" s="1"/>
  <c r="AG60" i="15" s="1"/>
  <c r="BJ53" i="3"/>
  <c r="AF101" i="15" s="1"/>
  <c r="AG101" i="15" s="1"/>
  <c r="BJ70" i="3"/>
  <c r="AF70" i="15"/>
  <c r="AG70" i="15" s="1"/>
  <c r="BJ103" i="3"/>
  <c r="AF19" i="15" s="1"/>
  <c r="AG19" i="15" s="1"/>
  <c r="BJ119" i="3"/>
  <c r="BJ136" i="3"/>
  <c r="BJ142" i="3"/>
  <c r="AF36" i="15" s="1"/>
  <c r="AG36" i="15" s="1"/>
  <c r="AY12" i="28" s="1"/>
  <c r="AZ142" i="3"/>
  <c r="Y36" i="15" s="1"/>
  <c r="BJ124" i="3"/>
  <c r="AZ124" i="3"/>
  <c r="BJ108" i="3"/>
  <c r="AF20" i="15" s="1"/>
  <c r="AG20" i="15" s="1"/>
  <c r="AZ108" i="3"/>
  <c r="Y20" i="15" s="1"/>
  <c r="Z20" i="15" s="1"/>
  <c r="AA20" i="15" s="1"/>
  <c r="BJ92" i="3"/>
  <c r="AF15" i="15" s="1"/>
  <c r="AZ92" i="3"/>
  <c r="Y15" i="15" s="1"/>
  <c r="BJ75" i="3"/>
  <c r="AZ75" i="3"/>
  <c r="BJ58" i="3"/>
  <c r="AZ58" i="3"/>
  <c r="BJ42" i="3"/>
  <c r="AF64" i="15" s="1"/>
  <c r="AG64" i="15" s="1"/>
  <c r="AZ42" i="3"/>
  <c r="Y64" i="15" s="1"/>
  <c r="Z64" i="15" s="1"/>
  <c r="AA64" i="15" s="1"/>
  <c r="BJ26" i="3"/>
  <c r="AF49" i="15" s="1"/>
  <c r="AG49" i="15" s="1"/>
  <c r="AZ26" i="3"/>
  <c r="Y49" i="15" s="1"/>
  <c r="Z49" i="15" s="1"/>
  <c r="AA49" i="15" s="1"/>
  <c r="BJ18" i="3"/>
  <c r="AF41" i="15" s="1"/>
  <c r="AG41" i="15" s="1"/>
  <c r="AZ18" i="3"/>
  <c r="Y41" i="15" s="1"/>
  <c r="Z41" i="15" s="1"/>
  <c r="AA41" i="15" s="1"/>
  <c r="AZ96" i="3"/>
  <c r="AZ62" i="3"/>
  <c r="AZ30" i="3"/>
  <c r="Y53" i="15" s="1"/>
  <c r="Z53" i="15" s="1"/>
  <c r="AA53" i="15" s="1"/>
  <c r="AZ14" i="3"/>
  <c r="BJ23" i="3"/>
  <c r="AF46" i="15" s="1"/>
  <c r="AG46" i="15" s="1"/>
  <c r="BJ114" i="3"/>
  <c r="AZ114" i="3"/>
  <c r="BJ106" i="3"/>
  <c r="AZ106" i="3"/>
  <c r="BJ98" i="3"/>
  <c r="AZ98" i="3"/>
  <c r="BJ90" i="3"/>
  <c r="AZ90" i="3"/>
  <c r="AF67" i="15"/>
  <c r="AG67" i="15" s="1"/>
  <c r="Y67" i="15"/>
  <c r="Z67" i="15" s="1"/>
  <c r="AA67" i="15" s="1"/>
  <c r="BJ73" i="3"/>
  <c r="AZ73" i="3"/>
  <c r="BJ64" i="3"/>
  <c r="AZ64" i="3"/>
  <c r="BJ56" i="3"/>
  <c r="AZ56" i="3"/>
  <c r="BJ48" i="3"/>
  <c r="AF99" i="15" s="1"/>
  <c r="AG99" i="15" s="1"/>
  <c r="AZ48" i="3"/>
  <c r="Y99" i="15" s="1"/>
  <c r="Z99" i="15" s="1"/>
  <c r="AA99" i="15" s="1"/>
  <c r="BJ40" i="3"/>
  <c r="AF61" i="15" s="1"/>
  <c r="AG61" i="15" s="1"/>
  <c r="AZ40" i="3"/>
  <c r="Y61" i="15" s="1"/>
  <c r="Z61" i="15" s="1"/>
  <c r="AA61" i="15" s="1"/>
  <c r="BJ32" i="3"/>
  <c r="AF55" i="15" s="1"/>
  <c r="AG55" i="15" s="1"/>
  <c r="AZ32" i="3"/>
  <c r="Y55" i="15" s="1"/>
  <c r="Z55" i="15" s="1"/>
  <c r="AA55" i="15" s="1"/>
  <c r="BJ24" i="3"/>
  <c r="AF47" i="15" s="1"/>
  <c r="AG47" i="15" s="1"/>
  <c r="AZ24" i="3"/>
  <c r="Y47" i="15" s="1"/>
  <c r="Z47" i="15" s="1"/>
  <c r="AA47" i="15" s="1"/>
  <c r="BJ16" i="3"/>
  <c r="AF39" i="15" s="1"/>
  <c r="AG39" i="15" s="1"/>
  <c r="AZ16" i="3"/>
  <c r="AF142" i="3"/>
  <c r="K36" i="15" s="1"/>
  <c r="AF124" i="3"/>
  <c r="AF116" i="3"/>
  <c r="AF108" i="3"/>
  <c r="K20" i="15" s="1"/>
  <c r="AF100" i="3"/>
  <c r="AF92" i="3"/>
  <c r="K15" i="15" s="1"/>
  <c r="K75" i="15"/>
  <c r="AF75" i="3"/>
  <c r="AF66" i="3"/>
  <c r="AF58" i="3"/>
  <c r="AF50" i="3"/>
  <c r="AF42" i="3"/>
  <c r="K64" i="15" s="1"/>
  <c r="AF34" i="3"/>
  <c r="K57" i="15" s="1"/>
  <c r="AF26" i="3"/>
  <c r="K49" i="15" s="1"/>
  <c r="AF18" i="3"/>
  <c r="K41" i="15" s="1"/>
  <c r="AP137" i="3"/>
  <c r="AP120" i="3"/>
  <c r="AP112" i="3"/>
  <c r="AP104" i="3"/>
  <c r="R27" i="15" s="1"/>
  <c r="S27" i="15" s="1"/>
  <c r="T27" i="15" s="1"/>
  <c r="AP96" i="3"/>
  <c r="R71" i="15"/>
  <c r="S71" i="15" s="1"/>
  <c r="T71" i="15" s="1"/>
  <c r="AP79" i="3"/>
  <c r="AP71" i="3"/>
  <c r="AP62" i="3"/>
  <c r="AP46" i="3"/>
  <c r="AP38" i="3"/>
  <c r="AP30" i="3"/>
  <c r="R53" i="15" s="1"/>
  <c r="S53" i="15" s="1"/>
  <c r="T53" i="15" s="1"/>
  <c r="AP22" i="3"/>
  <c r="R45" i="15" s="1"/>
  <c r="S45" i="15" s="1"/>
  <c r="T45" i="15" s="1"/>
  <c r="AP14" i="3"/>
  <c r="AF154" i="3"/>
  <c r="K96" i="15" s="1"/>
  <c r="AP148" i="3"/>
  <c r="AP154" i="3"/>
  <c r="R96" i="15" s="1"/>
  <c r="S96" i="15" s="1"/>
  <c r="T96" i="15" s="1"/>
  <c r="AZ137" i="3"/>
  <c r="AZ123" i="3"/>
  <c r="AZ109" i="3"/>
  <c r="Y21" i="15" s="1"/>
  <c r="Z21" i="15" s="1"/>
  <c r="AA21" i="15" s="1"/>
  <c r="AZ93" i="3"/>
  <c r="Y16" i="15" s="1"/>
  <c r="Z16" i="15" s="1"/>
  <c r="AA16" i="15" s="1"/>
  <c r="AZ76" i="3"/>
  <c r="AZ59" i="3"/>
  <c r="AZ43" i="3"/>
  <c r="AZ27" i="3"/>
  <c r="Y50" i="15" s="1"/>
  <c r="Z50" i="15" s="1"/>
  <c r="AA50" i="15" s="1"/>
  <c r="AZ9" i="3"/>
  <c r="Y35" i="15" s="1"/>
  <c r="BJ19" i="3"/>
  <c r="AF42" i="15" s="1"/>
  <c r="AG42" i="15" s="1"/>
  <c r="BJ35" i="3"/>
  <c r="AF58" i="15" s="1"/>
  <c r="AG58" i="15" s="1"/>
  <c r="BJ51" i="3"/>
  <c r="BJ67" i="3"/>
  <c r="AF76" i="15"/>
  <c r="AG76" i="15" s="1"/>
  <c r="BJ101" i="3"/>
  <c r="AF25" i="15" s="1"/>
  <c r="AG25" i="15" s="1"/>
  <c r="BJ117" i="3"/>
  <c r="AZ120" i="3"/>
  <c r="AZ104" i="3"/>
  <c r="Y27" i="15" s="1"/>
  <c r="Z27" i="15" s="1"/>
  <c r="AA27" i="15" s="1"/>
  <c r="Y71" i="15"/>
  <c r="Z71" i="15" s="1"/>
  <c r="AA71" i="15" s="1"/>
  <c r="AZ71" i="3"/>
  <c r="AZ38" i="3"/>
  <c r="AZ22" i="3"/>
  <c r="Y45" i="15" s="1"/>
  <c r="Z45" i="15" s="1"/>
  <c r="AA45" i="15" s="1"/>
  <c r="BJ15" i="3"/>
  <c r="AF38" i="15" s="1"/>
  <c r="AG38" i="15" s="1"/>
  <c r="BJ31" i="3"/>
  <c r="AF54" i="15" s="1"/>
  <c r="AG54" i="15" s="1"/>
  <c r="BJ47" i="3"/>
  <c r="BJ63" i="3"/>
  <c r="AF102" i="15" s="1"/>
  <c r="AG102" i="15" s="1"/>
  <c r="AF66" i="15"/>
  <c r="AG66" i="15" s="1"/>
  <c r="BJ97" i="3"/>
  <c r="BJ113" i="3"/>
  <c r="AF31" i="15" s="1"/>
  <c r="AG31" i="15" s="1"/>
  <c r="BJ129" i="3"/>
  <c r="AZ145" i="3"/>
  <c r="Y18" i="15" s="1"/>
  <c r="Z18" i="15" s="1"/>
  <c r="AA18" i="15" s="1"/>
  <c r="BJ145" i="3"/>
  <c r="AF18" i="15" s="1"/>
  <c r="AG18" i="15" s="1"/>
  <c r="AZ8" i="3"/>
  <c r="AF139" i="3"/>
  <c r="K95" i="15" s="1"/>
  <c r="AF121" i="3"/>
  <c r="AF113" i="3"/>
  <c r="K31" i="15" s="1"/>
  <c r="AF97" i="3"/>
  <c r="K72" i="15"/>
  <c r="K66" i="15"/>
  <c r="AF72" i="3"/>
  <c r="AF63" i="3"/>
  <c r="K102" i="15" s="1"/>
  <c r="AF55" i="3"/>
  <c r="AF47" i="3"/>
  <c r="AF39" i="3"/>
  <c r="AF31" i="3"/>
  <c r="K54" i="15" s="1"/>
  <c r="AF23" i="3"/>
  <c r="K46" i="15" s="1"/>
  <c r="AF15" i="3"/>
  <c r="K38" i="15" s="1"/>
  <c r="AP143" i="3"/>
  <c r="AP125" i="3"/>
  <c r="R85" i="15" s="1"/>
  <c r="S85" i="15" s="1"/>
  <c r="T85" i="15" s="1"/>
  <c r="AP117" i="3"/>
  <c r="AP109" i="3"/>
  <c r="R21" i="15" s="1"/>
  <c r="S21" i="15" s="1"/>
  <c r="T21" i="15" s="1"/>
  <c r="AP101" i="3"/>
  <c r="R25" i="15" s="1"/>
  <c r="S25" i="15" s="1"/>
  <c r="T25" i="15" s="1"/>
  <c r="AP93" i="3"/>
  <c r="R16" i="15" s="1"/>
  <c r="S16" i="15" s="1"/>
  <c r="T16" i="15" s="1"/>
  <c r="R76" i="15"/>
  <c r="S76" i="15" s="1"/>
  <c r="T76" i="15" s="1"/>
  <c r="AP76" i="3"/>
  <c r="AP67" i="3"/>
  <c r="AP59" i="3"/>
  <c r="AP51" i="3"/>
  <c r="AP43" i="3"/>
  <c r="AP35" i="3"/>
  <c r="R58" i="15" s="1"/>
  <c r="S58" i="15" s="1"/>
  <c r="T58" i="15" s="1"/>
  <c r="AP27" i="3"/>
  <c r="R50" i="15" s="1"/>
  <c r="S50" i="15" s="1"/>
  <c r="T50" i="15" s="1"/>
  <c r="AP19" i="3"/>
  <c r="R42" i="15" s="1"/>
  <c r="S42" i="15" s="1"/>
  <c r="T42" i="15" s="1"/>
  <c r="AP153" i="3"/>
  <c r="R81" i="15" s="1"/>
  <c r="S81" i="15" s="1"/>
  <c r="T81" i="15" s="1"/>
  <c r="AZ132" i="3"/>
  <c r="Y91" i="15" s="1"/>
  <c r="Z91" i="15" s="1"/>
  <c r="AA91" i="15" s="1"/>
  <c r="AZ118" i="3"/>
  <c r="AZ102" i="3"/>
  <c r="Y26" i="15" s="1"/>
  <c r="Z26" i="15" s="1"/>
  <c r="AA26" i="15" s="1"/>
  <c r="Y69" i="15"/>
  <c r="Z69" i="15" s="1"/>
  <c r="AA69" i="15" s="1"/>
  <c r="Y104" i="15"/>
  <c r="Z104" i="15" s="1"/>
  <c r="AA104" i="15" s="1"/>
  <c r="AZ36" i="3"/>
  <c r="Y59" i="15" s="1"/>
  <c r="Z59" i="15" s="1"/>
  <c r="AA59" i="15" s="1"/>
  <c r="AZ20" i="3"/>
  <c r="Y43" i="15" s="1"/>
  <c r="Z43" i="15" s="1"/>
  <c r="AA43" i="15" s="1"/>
  <c r="BJ13" i="3"/>
  <c r="BJ29" i="3"/>
  <c r="AF52" i="15" s="1"/>
  <c r="AG52" i="15" s="1"/>
  <c r="BJ45" i="3"/>
  <c r="BJ61" i="3"/>
  <c r="BJ78" i="3"/>
  <c r="BJ95" i="3"/>
  <c r="BJ111" i="3"/>
  <c r="AF29" i="15" s="1"/>
  <c r="AG29" i="15" s="1"/>
  <c r="BJ127" i="3"/>
  <c r="Z135" i="3"/>
  <c r="BV135" i="3" s="1"/>
  <c r="BJ135" i="3"/>
  <c r="AF94" i="15" s="1"/>
  <c r="AG94" i="15" s="1"/>
  <c r="AF137" i="3"/>
  <c r="AF120" i="3"/>
  <c r="AF112" i="3"/>
  <c r="AF104" i="3"/>
  <c r="K27" i="15" s="1"/>
  <c r="AF96" i="3"/>
  <c r="K71" i="15"/>
  <c r="AF79" i="3"/>
  <c r="AF71" i="3"/>
  <c r="AF62" i="3"/>
  <c r="AF46" i="3"/>
  <c r="AF38" i="3"/>
  <c r="AF30" i="3"/>
  <c r="K53" i="15" s="1"/>
  <c r="AF22" i="3"/>
  <c r="K45" i="15" s="1"/>
  <c r="AF13" i="3"/>
  <c r="AP142" i="3"/>
  <c r="R36" i="15" s="1"/>
  <c r="AP124" i="3"/>
  <c r="AP116" i="3"/>
  <c r="AP108" i="3"/>
  <c r="R20" i="15" s="1"/>
  <c r="S20" i="15" s="1"/>
  <c r="T20" i="15" s="1"/>
  <c r="AP100" i="3"/>
  <c r="AP92" i="3"/>
  <c r="R15" i="15" s="1"/>
  <c r="R75" i="15"/>
  <c r="S75" i="15" s="1"/>
  <c r="T75" i="15" s="1"/>
  <c r="AP75" i="3"/>
  <c r="AP66" i="3"/>
  <c r="AP58" i="3"/>
  <c r="AP50" i="3"/>
  <c r="AP42" i="3"/>
  <c r="R64" i="15" s="1"/>
  <c r="S64" i="15" s="1"/>
  <c r="T64" i="15" s="1"/>
  <c r="AP34" i="3"/>
  <c r="R57" i="15" s="1"/>
  <c r="S57" i="15" s="1"/>
  <c r="T57" i="15" s="1"/>
  <c r="AP26" i="3"/>
  <c r="R49" i="15" s="1"/>
  <c r="S49" i="15" s="1"/>
  <c r="T49" i="15" s="1"/>
  <c r="AP18" i="3"/>
  <c r="R41" i="15" s="1"/>
  <c r="S41" i="15" s="1"/>
  <c r="T41" i="15" s="1"/>
  <c r="AP144" i="3"/>
  <c r="AP150" i="3"/>
  <c r="R78" i="15" s="1"/>
  <c r="S78" i="15" s="1"/>
  <c r="T78" i="15" s="1"/>
  <c r="AZ130" i="3"/>
  <c r="AZ154" i="3"/>
  <c r="Y96" i="15" s="1"/>
  <c r="Z96" i="15" s="1"/>
  <c r="AA96" i="15" s="1"/>
  <c r="AF136" i="3"/>
  <c r="AF119" i="3"/>
  <c r="AF111" i="3"/>
  <c r="K29" i="15" s="1"/>
  <c r="AF103" i="3"/>
  <c r="K19" i="15" s="1"/>
  <c r="AF95" i="3"/>
  <c r="K70" i="15"/>
  <c r="AF78" i="3"/>
  <c r="AF70" i="3"/>
  <c r="AF61" i="3"/>
  <c r="AF53" i="3"/>
  <c r="K101" i="15" s="1"/>
  <c r="AF45" i="3"/>
  <c r="AF37" i="3"/>
  <c r="K60" i="15" s="1"/>
  <c r="AF29" i="3"/>
  <c r="K52" i="15" s="1"/>
  <c r="AF21" i="3"/>
  <c r="K44" i="15" s="1"/>
  <c r="AF12" i="3"/>
  <c r="AP141" i="3"/>
  <c r="AP123" i="3"/>
  <c r="AP115" i="3"/>
  <c r="AP107" i="3"/>
  <c r="R30" i="15" s="1"/>
  <c r="S30" i="15" s="1"/>
  <c r="T30" i="15" s="1"/>
  <c r="AP99" i="3"/>
  <c r="R23" i="15" s="1"/>
  <c r="S23" i="15" s="1"/>
  <c r="T23" i="15" s="1"/>
  <c r="AP91" i="3"/>
  <c r="R68" i="15"/>
  <c r="S68" i="15" s="1"/>
  <c r="AP74" i="3"/>
  <c r="AP65" i="3"/>
  <c r="AP57" i="3"/>
  <c r="AP49" i="3"/>
  <c r="AP41" i="3"/>
  <c r="R62" i="15" s="1"/>
  <c r="S62" i="15" s="1"/>
  <c r="T62" i="15" s="1"/>
  <c r="AP25" i="3"/>
  <c r="R48" i="15" s="1"/>
  <c r="S48" i="15" s="1"/>
  <c r="T48" i="15" s="1"/>
  <c r="AP17" i="3"/>
  <c r="R40" i="15" s="1"/>
  <c r="S40" i="15" s="1"/>
  <c r="T40" i="15" s="1"/>
  <c r="AF153" i="3"/>
  <c r="K81" i="15" s="1"/>
  <c r="AZ143" i="3"/>
  <c r="AZ128" i="3"/>
  <c r="AZ99" i="3"/>
  <c r="Y23" i="15" s="1"/>
  <c r="Z23" i="15" s="1"/>
  <c r="AA23" i="15" s="1"/>
  <c r="AZ150" i="3"/>
  <c r="Y78" i="15" s="1"/>
  <c r="Z78" i="15" s="1"/>
  <c r="AA78" i="15" s="1"/>
  <c r="BJ139" i="3"/>
  <c r="AF95" i="15" s="1"/>
  <c r="AG95" i="15" s="1"/>
  <c r="BM99" i="3"/>
  <c r="I23" i="15" s="1"/>
  <c r="AE92" i="3" l="1"/>
  <c r="AI12" i="28"/>
  <c r="AA65" i="15"/>
  <c r="AA106" i="15"/>
  <c r="AH12" i="28"/>
  <c r="AA77" i="15"/>
  <c r="AG12" i="28"/>
  <c r="H12" i="28"/>
  <c r="AF12" i="28"/>
  <c r="AL7" i="28"/>
  <c r="AL8" i="29"/>
  <c r="AL8" i="28"/>
  <c r="X13" i="28"/>
  <c r="AL7" i="29"/>
  <c r="AA123" i="15"/>
  <c r="AA178" i="15"/>
  <c r="AN7" i="27" s="1"/>
  <c r="E12" i="28"/>
  <c r="D12" i="28"/>
  <c r="G12" i="28"/>
  <c r="V11" i="29"/>
  <c r="U11" i="29"/>
  <c r="T18" i="15"/>
  <c r="T77" i="15"/>
  <c r="T178" i="15"/>
  <c r="Y7" i="27" s="1"/>
  <c r="BG9" i="27"/>
  <c r="BE9" i="27"/>
  <c r="BC9" i="27"/>
  <c r="BD9" i="27"/>
  <c r="S11" i="29"/>
  <c r="T11" i="29"/>
  <c r="AT7" i="27"/>
  <c r="AK7" i="29"/>
  <c r="AN7" i="29" s="1"/>
  <c r="W8" i="29"/>
  <c r="AB8" i="29" s="1"/>
  <c r="T100" i="15"/>
  <c r="N8" i="28"/>
  <c r="S224" i="15"/>
  <c r="W7" i="28"/>
  <c r="AC7" i="28" s="1"/>
  <c r="T38" i="15"/>
  <c r="AX7" i="28"/>
  <c r="AV7" i="28"/>
  <c r="AW7" i="28"/>
  <c r="AU7" i="28"/>
  <c r="AT7" i="28"/>
  <c r="AJ7" i="28"/>
  <c r="AF7" i="28"/>
  <c r="AG7" i="28"/>
  <c r="AI7" i="28"/>
  <c r="AH7" i="28"/>
  <c r="H6" i="28"/>
  <c r="D6" i="28"/>
  <c r="G6" i="28"/>
  <c r="F6" i="28"/>
  <c r="E6" i="28"/>
  <c r="AJ8" i="29"/>
  <c r="AF8" i="29"/>
  <c r="AG8" i="29"/>
  <c r="AI8" i="29"/>
  <c r="AH8" i="29"/>
  <c r="AG77" i="15"/>
  <c r="AD203" i="15"/>
  <c r="AE194" i="15"/>
  <c r="AE203" i="15" s="1"/>
  <c r="AR9" i="27"/>
  <c r="AO9" i="27"/>
  <c r="AQ9" i="27"/>
  <c r="AP9" i="27"/>
  <c r="AS9" i="27"/>
  <c r="AV14" i="28"/>
  <c r="AX14" i="28"/>
  <c r="AW14" i="28"/>
  <c r="AU14" i="28"/>
  <c r="AT14" i="28"/>
  <c r="AF8" i="28"/>
  <c r="AH8" i="28"/>
  <c r="AJ8" i="28"/>
  <c r="AG8" i="28"/>
  <c r="AI8" i="28"/>
  <c r="AU11" i="29"/>
  <c r="AW11" i="29"/>
  <c r="AT11" i="29"/>
  <c r="AX11" i="29"/>
  <c r="AV11" i="29"/>
  <c r="W8" i="28"/>
  <c r="K14" i="28"/>
  <c r="N14" i="28"/>
  <c r="M14" i="28"/>
  <c r="L14" i="28"/>
  <c r="O14" i="28"/>
  <c r="BD14" i="28"/>
  <c r="AZ14" i="28"/>
  <c r="BB14" i="28"/>
  <c r="BC14" i="28"/>
  <c r="BA14" i="28"/>
  <c r="AC6" i="28"/>
  <c r="AB6" i="28"/>
  <c r="Y6" i="28"/>
  <c r="Z6" i="28"/>
  <c r="AA6" i="28"/>
  <c r="AG106" i="15"/>
  <c r="I6" i="18"/>
  <c r="J6" i="18" s="1"/>
  <c r="I9" i="17"/>
  <c r="L9" i="17" s="1"/>
  <c r="V9" i="27"/>
  <c r="T9" i="27"/>
  <c r="S9" i="27"/>
  <c r="W9" i="27"/>
  <c r="U9" i="27"/>
  <c r="H14" i="28"/>
  <c r="G14" i="28"/>
  <c r="E14" i="28"/>
  <c r="D14" i="28"/>
  <c r="F14" i="28"/>
  <c r="AW7" i="29"/>
  <c r="AX7" i="29"/>
  <c r="AT7" i="29"/>
  <c r="AV7" i="29"/>
  <c r="AU7" i="29"/>
  <c r="AJ7" i="29"/>
  <c r="AF7" i="29"/>
  <c r="AG7" i="29"/>
  <c r="AH7" i="29"/>
  <c r="AI7" i="29"/>
  <c r="AQ11" i="29"/>
  <c r="AO11" i="29"/>
  <c r="AM11" i="29"/>
  <c r="AN11" i="29"/>
  <c r="AP11" i="29"/>
  <c r="U8" i="29"/>
  <c r="R8" i="29"/>
  <c r="S8" i="29"/>
  <c r="T8" i="29"/>
  <c r="V8" i="29"/>
  <c r="V14" i="28"/>
  <c r="S14" i="28"/>
  <c r="T14" i="28"/>
  <c r="U14" i="28"/>
  <c r="R14" i="28"/>
  <c r="V13" i="28"/>
  <c r="U13" i="28"/>
  <c r="T13" i="28"/>
  <c r="R13" i="28"/>
  <c r="S13" i="28"/>
  <c r="R178" i="15"/>
  <c r="AX6" i="28"/>
  <c r="AW6" i="28"/>
  <c r="AT6" i="28"/>
  <c r="AV6" i="28"/>
  <c r="AU6" i="28"/>
  <c r="V12" i="28"/>
  <c r="T12" i="28"/>
  <c r="U12" i="28"/>
  <c r="S12" i="28"/>
  <c r="R12" i="28"/>
  <c r="AI9" i="27"/>
  <c r="AJ9" i="27"/>
  <c r="AL9" i="27"/>
  <c r="AK9" i="27"/>
  <c r="AH9" i="27"/>
  <c r="AK7" i="28"/>
  <c r="AI14" i="28"/>
  <c r="AG14" i="28"/>
  <c r="AJ14" i="28"/>
  <c r="AF14" i="28"/>
  <c r="AH14" i="28"/>
  <c r="V8" i="28"/>
  <c r="U8" i="28"/>
  <c r="T8" i="28"/>
  <c r="R8" i="28"/>
  <c r="S8" i="28"/>
  <c r="C9" i="17"/>
  <c r="F9" i="17" s="1"/>
  <c r="C9" i="27"/>
  <c r="AB14" i="28"/>
  <c r="Z14" i="28"/>
  <c r="AA14" i="28"/>
  <c r="Y14" i="28"/>
  <c r="AC14" i="28" s="1"/>
  <c r="AJ11" i="29"/>
  <c r="AG11" i="29"/>
  <c r="AF11" i="29"/>
  <c r="AH11" i="29"/>
  <c r="W7" i="29"/>
  <c r="I12" i="18"/>
  <c r="K12" i="18" s="1"/>
  <c r="AK8" i="28"/>
  <c r="AK8" i="29"/>
  <c r="BC12" i="28"/>
  <c r="BD12" i="28"/>
  <c r="BB12" i="28"/>
  <c r="AZ12" i="28"/>
  <c r="BA12" i="28"/>
  <c r="H11" i="29"/>
  <c r="F11" i="29"/>
  <c r="D11" i="29"/>
  <c r="E11" i="29"/>
  <c r="G11" i="29"/>
  <c r="AZ9" i="27"/>
  <c r="AY9" i="27"/>
  <c r="BA9" i="27"/>
  <c r="AX9" i="27"/>
  <c r="AW9" i="27"/>
  <c r="AG123" i="15"/>
  <c r="AG178" i="15"/>
  <c r="BB7" i="27" s="1"/>
  <c r="AF6" i="28"/>
  <c r="AJ6" i="28"/>
  <c r="AG6" i="28"/>
  <c r="AI6" i="28"/>
  <c r="AH6" i="28"/>
  <c r="Q7" i="29"/>
  <c r="K11" i="29"/>
  <c r="O11" i="29"/>
  <c r="L11" i="29"/>
  <c r="M11" i="29"/>
  <c r="N11" i="29"/>
  <c r="AP9" i="18"/>
  <c r="AU9" i="18" s="1"/>
  <c r="AE97" i="15"/>
  <c r="W13" i="28"/>
  <c r="P178" i="15"/>
  <c r="AV8" i="28"/>
  <c r="AW8" i="28"/>
  <c r="AX8" i="28"/>
  <c r="AU8" i="28"/>
  <c r="AT8" i="28"/>
  <c r="AB11" i="29"/>
  <c r="AC11" i="29"/>
  <c r="Y11" i="29"/>
  <c r="Z11" i="29"/>
  <c r="AA11" i="29"/>
  <c r="Q7" i="28"/>
  <c r="AV6" i="18"/>
  <c r="AX6" i="18" s="1"/>
  <c r="AG35" i="15"/>
  <c r="AY6" i="28" s="1"/>
  <c r="H8" i="28"/>
  <c r="D8" i="28"/>
  <c r="G8" i="28"/>
  <c r="E8" i="28"/>
  <c r="F8" i="28"/>
  <c r="AY7" i="29"/>
  <c r="AG65" i="15"/>
  <c r="AY7" i="28"/>
  <c r="AY8" i="29"/>
  <c r="AY8" i="28"/>
  <c r="AG15" i="15"/>
  <c r="AF203" i="15"/>
  <c r="AG194" i="15"/>
  <c r="AV8" i="29"/>
  <c r="AX8" i="29"/>
  <c r="AT8" i="29"/>
  <c r="AU8" i="29"/>
  <c r="AW8" i="29"/>
  <c r="BD11" i="29"/>
  <c r="AZ11" i="29"/>
  <c r="BC11" i="29"/>
  <c r="BA11" i="29"/>
  <c r="BB11" i="29"/>
  <c r="AD219" i="15"/>
  <c r="AP8" i="17" s="1"/>
  <c r="AE37" i="15"/>
  <c r="AP14" i="28"/>
  <c r="AM14" i="28"/>
  <c r="AO14" i="28"/>
  <c r="AN14" i="28"/>
  <c r="AQ14" i="28"/>
  <c r="V6" i="28"/>
  <c r="T6" i="28"/>
  <c r="R6" i="28"/>
  <c r="S6" i="28"/>
  <c r="U6" i="28"/>
  <c r="AV12" i="28"/>
  <c r="AU12" i="28"/>
  <c r="AX12" i="28"/>
  <c r="AW12" i="28"/>
  <c r="AT12" i="28"/>
  <c r="AE178" i="15"/>
  <c r="AV7" i="27" s="1"/>
  <c r="AE123" i="15"/>
  <c r="Z65" i="15"/>
  <c r="Z123" i="15"/>
  <c r="Z178" i="15"/>
  <c r="AM7" i="27" s="1"/>
  <c r="Y203" i="15"/>
  <c r="Z194" i="15"/>
  <c r="AA194" i="15" s="1"/>
  <c r="W203" i="15"/>
  <c r="X194" i="15"/>
  <c r="X227" i="15" s="1"/>
  <c r="AI12" i="18"/>
  <c r="AL12" i="18" s="1"/>
  <c r="Z36" i="15"/>
  <c r="AC9" i="18"/>
  <c r="AH9" i="18" s="1"/>
  <c r="X97" i="15"/>
  <c r="X178" i="15"/>
  <c r="AG7" i="27" s="1"/>
  <c r="X123" i="15"/>
  <c r="Z106" i="15"/>
  <c r="W219" i="15"/>
  <c r="AC8" i="17" s="1"/>
  <c r="AI6" i="18"/>
  <c r="AJ6" i="18" s="1"/>
  <c r="Z35" i="15"/>
  <c r="Z77" i="15"/>
  <c r="Z15" i="15"/>
  <c r="AA15" i="15" s="1"/>
  <c r="S106" i="15"/>
  <c r="S178" i="15"/>
  <c r="S15" i="15"/>
  <c r="T15" i="15" s="1"/>
  <c r="S65" i="15"/>
  <c r="S77" i="15"/>
  <c r="Q178" i="15"/>
  <c r="R7" i="27" s="1"/>
  <c r="R203" i="15"/>
  <c r="S194" i="15"/>
  <c r="S123" i="15"/>
  <c r="V12" i="18"/>
  <c r="W12" i="18" s="1"/>
  <c r="S36" i="15"/>
  <c r="R224" i="15"/>
  <c r="V9" i="17" s="1"/>
  <c r="P98" i="15"/>
  <c r="Q97" i="15"/>
  <c r="P203" i="15"/>
  <c r="P219" i="15" s="1"/>
  <c r="Q194" i="15"/>
  <c r="Q227" i="15" s="1"/>
  <c r="P7" i="16"/>
  <c r="Q7" i="16" s="1"/>
  <c r="AC92" i="3"/>
  <c r="W227" i="15"/>
  <c r="P227" i="15"/>
  <c r="AD227" i="15"/>
  <c r="K178" i="15"/>
  <c r="P224" i="15"/>
  <c r="I178" i="15"/>
  <c r="AI7" i="18"/>
  <c r="AP11" i="18"/>
  <c r="AV7" i="18"/>
  <c r="AV11" i="18"/>
  <c r="V8" i="18"/>
  <c r="Z8" i="18" s="1"/>
  <c r="V7" i="18"/>
  <c r="O21" i="15"/>
  <c r="BN109" i="3"/>
  <c r="AM109" i="3"/>
  <c r="AQ7" i="18"/>
  <c r="AS7" i="18"/>
  <c r="AR7" i="18"/>
  <c r="AU7" i="18"/>
  <c r="AT7" i="18"/>
  <c r="AQ14" i="18"/>
  <c r="AU14" i="18"/>
  <c r="AT14" i="18"/>
  <c r="AS14" i="18"/>
  <c r="AR14" i="18"/>
  <c r="V13" i="18"/>
  <c r="AD9" i="17"/>
  <c r="AF9" i="17"/>
  <c r="AE9" i="17"/>
  <c r="AG9" i="17"/>
  <c r="AH9" i="17"/>
  <c r="AQ6" i="18"/>
  <c r="AU6" i="18"/>
  <c r="AT6" i="18"/>
  <c r="AS6" i="18"/>
  <c r="AR6" i="18"/>
  <c r="AD14" i="18"/>
  <c r="AH14" i="18"/>
  <c r="AG14" i="18"/>
  <c r="AF14" i="18"/>
  <c r="AE14" i="18"/>
  <c r="W6" i="18"/>
  <c r="AA6" i="18"/>
  <c r="Z6" i="18"/>
  <c r="Y6" i="18"/>
  <c r="X6" i="18"/>
  <c r="AD8" i="18"/>
  <c r="AH8" i="18"/>
  <c r="AG8" i="18"/>
  <c r="AF8" i="18"/>
  <c r="AE8" i="18"/>
  <c r="J14" i="18"/>
  <c r="N14" i="18"/>
  <c r="L14" i="18"/>
  <c r="K14" i="18"/>
  <c r="M14" i="18"/>
  <c r="AD7" i="18"/>
  <c r="AF7" i="18"/>
  <c r="AH7" i="18"/>
  <c r="AG7" i="18"/>
  <c r="AE7" i="18"/>
  <c r="AW14" i="18"/>
  <c r="BA14" i="18"/>
  <c r="AZ14" i="18"/>
  <c r="AY14" i="18"/>
  <c r="AX14" i="18"/>
  <c r="Q12" i="18"/>
  <c r="S12" i="18"/>
  <c r="U12" i="18"/>
  <c r="T12" i="18"/>
  <c r="R12" i="18"/>
  <c r="U6" i="18"/>
  <c r="T6" i="18"/>
  <c r="S6" i="18"/>
  <c r="R6" i="18"/>
  <c r="AJ9" i="17"/>
  <c r="AL9" i="17"/>
  <c r="AN9" i="17"/>
  <c r="AM9" i="17"/>
  <c r="AK9" i="17"/>
  <c r="AD6" i="18"/>
  <c r="AH6" i="18"/>
  <c r="AG6" i="18"/>
  <c r="AF6" i="18"/>
  <c r="AE6" i="18"/>
  <c r="Q7" i="18"/>
  <c r="S7" i="18"/>
  <c r="U7" i="18"/>
  <c r="T7" i="18"/>
  <c r="R7" i="18"/>
  <c r="AQ9" i="17"/>
  <c r="AU9" i="17"/>
  <c r="AT9" i="17"/>
  <c r="AS9" i="17"/>
  <c r="AR9" i="17"/>
  <c r="AQ12" i="18"/>
  <c r="AU12" i="18"/>
  <c r="AT12" i="18"/>
  <c r="AS12" i="18"/>
  <c r="AR12" i="18"/>
  <c r="D8" i="18"/>
  <c r="F8" i="18"/>
  <c r="H8" i="18"/>
  <c r="G8" i="18"/>
  <c r="E8" i="18"/>
  <c r="U8" i="18"/>
  <c r="T8" i="18"/>
  <c r="S8" i="18"/>
  <c r="R8" i="18"/>
  <c r="AX9" i="17"/>
  <c r="BA9" i="17"/>
  <c r="AZ9" i="17"/>
  <c r="AY9" i="17"/>
  <c r="AW9" i="17"/>
  <c r="D12" i="18"/>
  <c r="F12" i="18"/>
  <c r="H12" i="18"/>
  <c r="G12" i="18"/>
  <c r="E12" i="18"/>
  <c r="AQ8" i="18"/>
  <c r="AU8" i="18"/>
  <c r="AT8" i="18"/>
  <c r="AS8" i="18"/>
  <c r="AR8" i="18"/>
  <c r="D14" i="18"/>
  <c r="F14" i="18"/>
  <c r="H14" i="18"/>
  <c r="G14" i="18"/>
  <c r="E14" i="18"/>
  <c r="D6" i="18"/>
  <c r="E6" i="18"/>
  <c r="G6" i="18"/>
  <c r="H6" i="18"/>
  <c r="F6" i="18"/>
  <c r="Q14" i="18"/>
  <c r="S14" i="18"/>
  <c r="U14" i="18"/>
  <c r="T14" i="18"/>
  <c r="R14" i="18"/>
  <c r="U13" i="18"/>
  <c r="T13" i="18"/>
  <c r="S13" i="18"/>
  <c r="R13" i="18"/>
  <c r="AD12" i="18"/>
  <c r="AH12" i="18"/>
  <c r="AG12" i="18"/>
  <c r="AF12" i="18"/>
  <c r="AE12" i="18"/>
  <c r="AL14" i="18"/>
  <c r="AK14" i="18"/>
  <c r="AN14" i="18"/>
  <c r="AJ14" i="18"/>
  <c r="AM14" i="18"/>
  <c r="W14" i="18"/>
  <c r="AA14" i="18" s="1"/>
  <c r="Y14" i="18"/>
  <c r="Z14" i="18"/>
  <c r="X14" i="18"/>
  <c r="R106" i="15"/>
  <c r="R65" i="15"/>
  <c r="R77" i="15"/>
  <c r="BI92" i="3"/>
  <c r="BV126" i="3"/>
  <c r="AD126" i="3"/>
  <c r="H86" i="15" s="1"/>
  <c r="BL92" i="3"/>
  <c r="AO92" i="3"/>
  <c r="AY92" i="3"/>
  <c r="K77" i="15"/>
  <c r="P9" i="18"/>
  <c r="Q13" i="18"/>
  <c r="O15" i="15"/>
  <c r="BN92" i="3"/>
  <c r="AM92" i="3"/>
  <c r="O66" i="15"/>
  <c r="AF77" i="15"/>
  <c r="I13" i="18"/>
  <c r="Y77" i="15"/>
  <c r="K106" i="15"/>
  <c r="BV44" i="3"/>
  <c r="AD44" i="3"/>
  <c r="H63" i="15" s="1"/>
  <c r="BM44" i="3"/>
  <c r="I63" i="15" s="1"/>
  <c r="K65" i="15"/>
  <c r="AC13" i="18"/>
  <c r="W98" i="15"/>
  <c r="AD98" i="15"/>
  <c r="AP13" i="18"/>
  <c r="I8" i="18"/>
  <c r="K97" i="15"/>
  <c r="R97" i="15"/>
  <c r="S97" i="15" s="1"/>
  <c r="Y97" i="15"/>
  <c r="AF97" i="15"/>
  <c r="BV73" i="3"/>
  <c r="BM73" i="3"/>
  <c r="AD73" i="3"/>
  <c r="Y106" i="15"/>
  <c r="W75" i="15"/>
  <c r="X75" i="15" s="1"/>
  <c r="BQ108" i="3"/>
  <c r="W20" i="15" s="1"/>
  <c r="W66" i="15"/>
  <c r="X66" i="15" s="1"/>
  <c r="H18" i="15"/>
  <c r="AC145" i="3"/>
  <c r="AY145" i="3"/>
  <c r="AE145" i="3"/>
  <c r="AO145" i="3"/>
  <c r="BL145" i="3"/>
  <c r="BI145" i="3"/>
  <c r="AF106" i="15"/>
  <c r="BV67" i="3"/>
  <c r="AD67" i="3"/>
  <c r="BV94" i="3"/>
  <c r="AD94" i="3"/>
  <c r="AF37" i="15"/>
  <c r="BV132" i="3"/>
  <c r="AD132" i="3"/>
  <c r="H91" i="15" s="1"/>
  <c r="BV108" i="3"/>
  <c r="AA108" i="3"/>
  <c r="H20" i="15" s="1"/>
  <c r="AY109" i="3"/>
  <c r="AO109" i="3"/>
  <c r="BI109" i="3"/>
  <c r="AE109" i="3"/>
  <c r="BL109" i="3"/>
  <c r="AC109" i="3"/>
  <c r="AE93" i="3"/>
  <c r="AO93" i="3"/>
  <c r="AC93" i="3"/>
  <c r="AY93" i="3"/>
  <c r="BI93" i="3"/>
  <c r="BL93" i="3"/>
  <c r="H208" i="15"/>
  <c r="K208" i="15"/>
  <c r="I208" i="15"/>
  <c r="Y208" i="15"/>
  <c r="Y219" i="15" s="1"/>
  <c r="R208" i="15"/>
  <c r="AF208" i="15"/>
  <c r="AG208" i="15" s="1"/>
  <c r="AG210" i="15" s="1"/>
  <c r="AD74" i="3"/>
  <c r="BV74" i="3"/>
  <c r="BV109" i="3"/>
  <c r="AI8" i="18"/>
  <c r="AV12" i="18"/>
  <c r="AV8" i="18"/>
  <c r="I7" i="18"/>
  <c r="AP11" i="16"/>
  <c r="AC11" i="16"/>
  <c r="C11" i="16"/>
  <c r="P11" i="16"/>
  <c r="AI11" i="16"/>
  <c r="AP7" i="16"/>
  <c r="AV11" i="16"/>
  <c r="AC7" i="16"/>
  <c r="I11" i="16"/>
  <c r="V11" i="16"/>
  <c r="AC8" i="16"/>
  <c r="AP8" i="16"/>
  <c r="P8" i="16"/>
  <c r="AD37" i="15"/>
  <c r="Y22" i="15"/>
  <c r="K22" i="15"/>
  <c r="I11" i="18" s="1"/>
  <c r="R22" i="15"/>
  <c r="S22" i="15" s="1"/>
  <c r="AF65" i="15"/>
  <c r="Y65" i="15"/>
  <c r="AD75" i="15"/>
  <c r="AE75" i="15" s="1"/>
  <c r="P75" i="15"/>
  <c r="Q75" i="15" s="1"/>
  <c r="BM74" i="3"/>
  <c r="BH109" i="3"/>
  <c r="BM67" i="3"/>
  <c r="BM108" i="3"/>
  <c r="I20" i="15" s="1"/>
  <c r="AD108" i="3"/>
  <c r="BM154" i="3"/>
  <c r="I96" i="15" s="1"/>
  <c r="AD154" i="3"/>
  <c r="H96" i="15" s="1"/>
  <c r="BM150" i="3"/>
  <c r="I78" i="15" s="1"/>
  <c r="AD150" i="3"/>
  <c r="H78" i="15" s="1"/>
  <c r="BQ109" i="3"/>
  <c r="W21" i="15" s="1"/>
  <c r="X21" i="15" s="1"/>
  <c r="AX109" i="3"/>
  <c r="BM109" i="3"/>
  <c r="I21" i="15" s="1"/>
  <c r="AD109" i="3"/>
  <c r="AD111" i="3"/>
  <c r="H29" i="15" s="1"/>
  <c r="BM111" i="3"/>
  <c r="I29" i="15" s="1"/>
  <c r="H104" i="15"/>
  <c r="I104" i="15"/>
  <c r="I106" i="15" s="1"/>
  <c r="H75" i="15"/>
  <c r="I75" i="15"/>
  <c r="BM125" i="3"/>
  <c r="I85" i="15" s="1"/>
  <c r="AD125" i="3"/>
  <c r="H85" i="15" s="1"/>
  <c r="AD93" i="3"/>
  <c r="BM93" i="3"/>
  <c r="I16" i="15" s="1"/>
  <c r="BM132" i="3"/>
  <c r="I91" i="15" s="1"/>
  <c r="BM94" i="3"/>
  <c r="I17" i="15" s="1"/>
  <c r="BO109" i="3"/>
  <c r="P21" i="15" s="1"/>
  <c r="AN109" i="3"/>
  <c r="BM126" i="3"/>
  <c r="I86" i="15" s="1"/>
  <c r="BM135" i="3"/>
  <c r="I94" i="15" s="1"/>
  <c r="AD135" i="3"/>
  <c r="H94" i="15" s="1"/>
  <c r="S37" i="15" l="1"/>
  <c r="AN6" i="18"/>
  <c r="K8" i="28"/>
  <c r="K6" i="18"/>
  <c r="L6" i="18"/>
  <c r="M6" i="18"/>
  <c r="N6" i="18"/>
  <c r="AK6" i="18"/>
  <c r="T65" i="15"/>
  <c r="X7" i="28"/>
  <c r="X7" i="29"/>
  <c r="AM6" i="18"/>
  <c r="AA203" i="15"/>
  <c r="AK6" i="28"/>
  <c r="AN6" i="28" s="1"/>
  <c r="AA35" i="15"/>
  <c r="AL6" i="28" s="1"/>
  <c r="AK12" i="28"/>
  <c r="AM12" i="28" s="1"/>
  <c r="AA36" i="15"/>
  <c r="AL12" i="28" s="1"/>
  <c r="T106" i="15"/>
  <c r="X8" i="29"/>
  <c r="X8" i="28"/>
  <c r="AT9" i="18"/>
  <c r="AR9" i="18"/>
  <c r="AO7" i="29"/>
  <c r="AS9" i="18"/>
  <c r="M12" i="18"/>
  <c r="AQ9" i="18"/>
  <c r="L12" i="18"/>
  <c r="J12" i="18"/>
  <c r="N12" i="18"/>
  <c r="O8" i="28"/>
  <c r="U7" i="16"/>
  <c r="L8" i="28"/>
  <c r="M8" i="28"/>
  <c r="Z7" i="28"/>
  <c r="Y7" i="28"/>
  <c r="AB7" i="28"/>
  <c r="AA7" i="28"/>
  <c r="Z8" i="29"/>
  <c r="Y8" i="29"/>
  <c r="AA8" i="29"/>
  <c r="AM7" i="29"/>
  <c r="AD9" i="18"/>
  <c r="AF9" i="18"/>
  <c r="AE9" i="18"/>
  <c r="AG9" i="18"/>
  <c r="AL6" i="18"/>
  <c r="AP7" i="29"/>
  <c r="G13" i="28"/>
  <c r="AE219" i="15"/>
  <c r="AV8" i="27" s="1"/>
  <c r="BA8" i="27" s="1"/>
  <c r="AQ7" i="29"/>
  <c r="AC8" i="29"/>
  <c r="J9" i="17"/>
  <c r="AE227" i="15"/>
  <c r="AS11" i="28"/>
  <c r="AX11" i="28" s="1"/>
  <c r="W12" i="28"/>
  <c r="AC12" i="28" s="1"/>
  <c r="T36" i="15"/>
  <c r="X12" i="28" s="1"/>
  <c r="X7" i="27"/>
  <c r="AC7" i="27" s="1"/>
  <c r="W10" i="29"/>
  <c r="AB10" i="29" s="1"/>
  <c r="T97" i="15"/>
  <c r="X9" i="27"/>
  <c r="S203" i="15"/>
  <c r="T194" i="15"/>
  <c r="AG227" i="15"/>
  <c r="L10" i="28"/>
  <c r="T22" i="15"/>
  <c r="AO7" i="28"/>
  <c r="AM7" i="28"/>
  <c r="AN7" i="28"/>
  <c r="AP7" i="28"/>
  <c r="AQ7" i="28"/>
  <c r="AF219" i="15"/>
  <c r="AV9" i="18"/>
  <c r="BA9" i="18" s="1"/>
  <c r="AG97" i="15"/>
  <c r="AG226" i="15" s="1"/>
  <c r="BB13" i="27" s="1"/>
  <c r="V7" i="28"/>
  <c r="T7" i="28"/>
  <c r="R7" i="28"/>
  <c r="S7" i="28"/>
  <c r="U7" i="28"/>
  <c r="AE9" i="29"/>
  <c r="AE10" i="28"/>
  <c r="AN8" i="29"/>
  <c r="AO8" i="29"/>
  <c r="AM8" i="29"/>
  <c r="AQ8" i="29"/>
  <c r="AP8" i="29"/>
  <c r="AT6" i="27"/>
  <c r="AT11" i="27"/>
  <c r="H7" i="28"/>
  <c r="D7" i="28"/>
  <c r="E7" i="28"/>
  <c r="F7" i="28"/>
  <c r="G7" i="28"/>
  <c r="H9" i="17"/>
  <c r="M9" i="17"/>
  <c r="BA6" i="18"/>
  <c r="AI7" i="27"/>
  <c r="AL7" i="27"/>
  <c r="AJ7" i="27"/>
  <c r="AK7" i="27"/>
  <c r="AH7" i="27"/>
  <c r="AF107" i="15"/>
  <c r="AO8" i="28"/>
  <c r="AN8" i="28"/>
  <c r="AM8" i="28"/>
  <c r="AQ8" i="28"/>
  <c r="AP8" i="28"/>
  <c r="AY9" i="29"/>
  <c r="BG7" i="27"/>
  <c r="BD7" i="27"/>
  <c r="BF7" i="27"/>
  <c r="BC7" i="27"/>
  <c r="BE7" i="27"/>
  <c r="H8" i="29"/>
  <c r="E8" i="29"/>
  <c r="D8" i="29"/>
  <c r="F8" i="29"/>
  <c r="G8" i="29"/>
  <c r="Q77" i="15"/>
  <c r="Q9" i="29"/>
  <c r="Q10" i="28"/>
  <c r="X219" i="15"/>
  <c r="AG8" i="27" s="1"/>
  <c r="K7" i="28"/>
  <c r="M7" i="28"/>
  <c r="N7" i="28"/>
  <c r="O7" i="28"/>
  <c r="L7" i="28"/>
  <c r="E13" i="17"/>
  <c r="O7" i="29"/>
  <c r="L7" i="29"/>
  <c r="K7" i="29"/>
  <c r="M7" i="29"/>
  <c r="N7" i="29"/>
  <c r="G9" i="17"/>
  <c r="C7" i="17"/>
  <c r="G7" i="17" s="1"/>
  <c r="AY6" i="29"/>
  <c r="AY11" i="28"/>
  <c r="S98" i="15"/>
  <c r="W9" i="28"/>
  <c r="I9" i="18"/>
  <c r="K9" i="18" s="1"/>
  <c r="D9" i="17"/>
  <c r="N9" i="17"/>
  <c r="AZ6" i="18"/>
  <c r="K7" i="27"/>
  <c r="O7" i="27"/>
  <c r="M7" i="27"/>
  <c r="L7" i="27"/>
  <c r="N7" i="27"/>
  <c r="Q98" i="15"/>
  <c r="Q9" i="28"/>
  <c r="Q10" i="29"/>
  <c r="W7" i="27"/>
  <c r="V7" i="27"/>
  <c r="T7" i="27"/>
  <c r="U7" i="27"/>
  <c r="S7" i="27"/>
  <c r="X98" i="15"/>
  <c r="AE9" i="28"/>
  <c r="AE13" i="28"/>
  <c r="AE10" i="29"/>
  <c r="AR7" i="27"/>
  <c r="AO7" i="27"/>
  <c r="AS7" i="27"/>
  <c r="AQ7" i="27"/>
  <c r="AP7" i="27"/>
  <c r="AS6" i="29"/>
  <c r="BD8" i="28"/>
  <c r="BB8" i="28"/>
  <c r="BC8" i="28"/>
  <c r="AZ8" i="28"/>
  <c r="BA8" i="28"/>
  <c r="AS9" i="28"/>
  <c r="AS10" i="29"/>
  <c r="AE98" i="15"/>
  <c r="AS13" i="28"/>
  <c r="AG203" i="15"/>
  <c r="K13" i="28"/>
  <c r="N13" i="28"/>
  <c r="M13" i="28"/>
  <c r="O13" i="28"/>
  <c r="L13" i="28"/>
  <c r="AG37" i="15"/>
  <c r="AC8" i="28"/>
  <c r="AA8" i="28"/>
  <c r="AB8" i="28"/>
  <c r="Z8" i="28"/>
  <c r="Y8" i="28"/>
  <c r="AE11" i="27"/>
  <c r="BA7" i="27"/>
  <c r="AZ7" i="27"/>
  <c r="AX7" i="27"/>
  <c r="AW7" i="27"/>
  <c r="AY7" i="27"/>
  <c r="AC13" i="28"/>
  <c r="AA13" i="28"/>
  <c r="Y13" i="28"/>
  <c r="AB13" i="28"/>
  <c r="Z13" i="28"/>
  <c r="E9" i="17"/>
  <c r="K9" i="17"/>
  <c r="AW6" i="18"/>
  <c r="BD8" i="29"/>
  <c r="BC8" i="29"/>
  <c r="AZ8" i="29"/>
  <c r="BA8" i="29"/>
  <c r="BB8" i="29"/>
  <c r="R7" i="29"/>
  <c r="V7" i="29"/>
  <c r="S7" i="29"/>
  <c r="T7" i="29"/>
  <c r="U7" i="29"/>
  <c r="AG219" i="15"/>
  <c r="BB8" i="27" s="1"/>
  <c r="K12" i="28"/>
  <c r="M12" i="28"/>
  <c r="O12" i="28"/>
  <c r="L12" i="28"/>
  <c r="N12" i="28"/>
  <c r="AY10" i="28"/>
  <c r="W11" i="28"/>
  <c r="BD6" i="28"/>
  <c r="BA6" i="28"/>
  <c r="BB6" i="28"/>
  <c r="BC6" i="28"/>
  <c r="AZ6" i="28"/>
  <c r="AC7" i="29"/>
  <c r="AB7" i="29"/>
  <c r="Y7" i="29"/>
  <c r="AA7" i="29"/>
  <c r="Z7" i="29"/>
  <c r="BD7" i="29"/>
  <c r="BB7" i="29"/>
  <c r="BA7" i="29"/>
  <c r="BC7" i="29"/>
  <c r="AZ7" i="29"/>
  <c r="H9" i="27"/>
  <c r="D9" i="27"/>
  <c r="E9" i="27"/>
  <c r="F9" i="27"/>
  <c r="G9" i="27"/>
  <c r="K9" i="27"/>
  <c r="M9" i="27"/>
  <c r="O9" i="27"/>
  <c r="N9" i="27"/>
  <c r="L9" i="27"/>
  <c r="Y107" i="15"/>
  <c r="AY6" i="18"/>
  <c r="K6" i="28"/>
  <c r="N6" i="28"/>
  <c r="M6" i="28"/>
  <c r="L6" i="28"/>
  <c r="O6" i="28"/>
  <c r="O8" i="29"/>
  <c r="L8" i="29"/>
  <c r="K8" i="29"/>
  <c r="N8" i="29"/>
  <c r="M8" i="29"/>
  <c r="BD7" i="28"/>
  <c r="AZ7" i="28"/>
  <c r="BB7" i="28"/>
  <c r="BA7" i="28"/>
  <c r="BC7" i="28"/>
  <c r="N13" i="17"/>
  <c r="X203" i="15"/>
  <c r="Z12" i="18"/>
  <c r="AA12" i="18"/>
  <c r="X77" i="15"/>
  <c r="X20" i="15"/>
  <c r="W107" i="15"/>
  <c r="AI11" i="18"/>
  <c r="AL11" i="18" s="1"/>
  <c r="Z22" i="15"/>
  <c r="Y210" i="15"/>
  <c r="AI8" i="17" s="1"/>
  <c r="AN8" i="17" s="1"/>
  <c r="Z208" i="15"/>
  <c r="AA208" i="15" s="1"/>
  <c r="AA227" i="15" s="1"/>
  <c r="AM12" i="18"/>
  <c r="Z203" i="15"/>
  <c r="AN12" i="18"/>
  <c r="AJ12" i="18"/>
  <c r="AK12" i="18"/>
  <c r="AI13" i="18"/>
  <c r="AL13" i="18" s="1"/>
  <c r="Z97" i="15"/>
  <c r="AA97" i="15" s="1"/>
  <c r="R7" i="16"/>
  <c r="Q203" i="15"/>
  <c r="W9" i="17"/>
  <c r="AA9" i="17"/>
  <c r="X9" i="17"/>
  <c r="Z9" i="17"/>
  <c r="Y9" i="17"/>
  <c r="X12" i="18"/>
  <c r="S7" i="16"/>
  <c r="T7" i="16"/>
  <c r="Y12" i="18"/>
  <c r="Q21" i="15"/>
  <c r="R227" i="15"/>
  <c r="S208" i="15"/>
  <c r="T208" i="15" s="1"/>
  <c r="S107" i="15"/>
  <c r="Q219" i="15"/>
  <c r="R8" i="27" s="1"/>
  <c r="P8" i="17"/>
  <c r="T8" i="17" s="1"/>
  <c r="P9" i="17"/>
  <c r="Q9" i="17" s="1"/>
  <c r="P7" i="17"/>
  <c r="R226" i="15"/>
  <c r="AF210" i="15"/>
  <c r="AF227" i="15"/>
  <c r="Y227" i="15"/>
  <c r="AF226" i="15"/>
  <c r="AV13" i="17" s="1"/>
  <c r="W226" i="15"/>
  <c r="AC13" i="17" s="1"/>
  <c r="AD13" i="17" s="1"/>
  <c r="Y226" i="15"/>
  <c r="AI13" i="17" s="1"/>
  <c r="P11" i="18"/>
  <c r="P226" i="15"/>
  <c r="S13" i="17" s="1"/>
  <c r="AC10" i="18"/>
  <c r="W8" i="18"/>
  <c r="W13" i="18"/>
  <c r="AA8" i="18"/>
  <c r="AC11" i="18"/>
  <c r="X8" i="18"/>
  <c r="Y8" i="18"/>
  <c r="P77" i="15"/>
  <c r="P10" i="18"/>
  <c r="V11" i="18"/>
  <c r="W11" i="18" s="1"/>
  <c r="AD7" i="16"/>
  <c r="AH7" i="16"/>
  <c r="AG7" i="16"/>
  <c r="AF7" i="16"/>
  <c r="AE7" i="16"/>
  <c r="W7" i="18"/>
  <c r="Y7" i="18"/>
  <c r="AA7" i="18"/>
  <c r="Z7" i="18"/>
  <c r="X7" i="18"/>
  <c r="AW11" i="16"/>
  <c r="BA11" i="16"/>
  <c r="AZ11" i="16"/>
  <c r="AY11" i="16"/>
  <c r="AX11" i="16"/>
  <c r="J7" i="18"/>
  <c r="L7" i="18"/>
  <c r="N7" i="18"/>
  <c r="M7" i="18"/>
  <c r="K7" i="18"/>
  <c r="AQ8" i="17"/>
  <c r="AS8" i="17"/>
  <c r="AR8" i="17"/>
  <c r="AU8" i="17"/>
  <c r="AT8" i="17"/>
  <c r="AQ7" i="16"/>
  <c r="AR7" i="16"/>
  <c r="AU7" i="16"/>
  <c r="AT7" i="16"/>
  <c r="AS7" i="16"/>
  <c r="AW8" i="18"/>
  <c r="AX8" i="18"/>
  <c r="AZ8" i="18"/>
  <c r="BA8" i="18"/>
  <c r="AY8" i="18"/>
  <c r="AQ11" i="18"/>
  <c r="AS11" i="18"/>
  <c r="AR11" i="18"/>
  <c r="AU11" i="18"/>
  <c r="AT11" i="18"/>
  <c r="J8" i="18"/>
  <c r="N8" i="18"/>
  <c r="M8" i="18"/>
  <c r="L8" i="18"/>
  <c r="K8" i="18"/>
  <c r="T8" i="16"/>
  <c r="S8" i="16"/>
  <c r="R8" i="16"/>
  <c r="Q8" i="16"/>
  <c r="U8" i="16"/>
  <c r="AK11" i="16"/>
  <c r="AN11" i="16"/>
  <c r="AM11" i="16"/>
  <c r="AL11" i="16"/>
  <c r="AJ11" i="16"/>
  <c r="C11" i="18"/>
  <c r="D11" i="18" s="1"/>
  <c r="AQ8" i="16"/>
  <c r="AT8" i="16"/>
  <c r="AS8" i="16"/>
  <c r="AR8" i="16"/>
  <c r="AU8" i="16"/>
  <c r="Q11" i="16"/>
  <c r="U11" i="16"/>
  <c r="T11" i="16"/>
  <c r="S11" i="16"/>
  <c r="R11" i="16"/>
  <c r="BA12" i="18"/>
  <c r="AZ12" i="18"/>
  <c r="AY12" i="18"/>
  <c r="AX12" i="18"/>
  <c r="AW12" i="18"/>
  <c r="AQ13" i="18"/>
  <c r="AS13" i="18"/>
  <c r="AU13" i="18"/>
  <c r="AR13" i="18"/>
  <c r="AT13" i="18"/>
  <c r="AD8" i="16"/>
  <c r="AF8" i="16"/>
  <c r="AH8" i="16"/>
  <c r="AG8" i="16"/>
  <c r="AE8" i="16"/>
  <c r="D11" i="16"/>
  <c r="H11" i="16"/>
  <c r="G11" i="16"/>
  <c r="F11" i="16"/>
  <c r="E11" i="16"/>
  <c r="AJ7" i="18"/>
  <c r="AN7" i="18"/>
  <c r="AM7" i="18"/>
  <c r="AL7" i="18"/>
  <c r="AK7" i="18"/>
  <c r="R210" i="15"/>
  <c r="R219" i="15" s="1"/>
  <c r="Q9" i="18"/>
  <c r="S9" i="18"/>
  <c r="U9" i="18"/>
  <c r="T9" i="18"/>
  <c r="R9" i="18"/>
  <c r="AD8" i="17"/>
  <c r="AH8" i="17"/>
  <c r="AG8" i="17"/>
  <c r="AF8" i="17"/>
  <c r="AE8" i="17"/>
  <c r="AA11" i="16"/>
  <c r="Z11" i="16"/>
  <c r="Y11" i="16"/>
  <c r="X11" i="16"/>
  <c r="W11" i="16"/>
  <c r="AD11" i="16"/>
  <c r="AF11" i="16"/>
  <c r="AH11" i="16"/>
  <c r="AE11" i="16"/>
  <c r="AW7" i="18"/>
  <c r="BA7" i="18"/>
  <c r="AZ7" i="18"/>
  <c r="AY7" i="18"/>
  <c r="AX7" i="18"/>
  <c r="J13" i="18"/>
  <c r="N13" i="18"/>
  <c r="M13" i="18"/>
  <c r="L13" i="18"/>
  <c r="K13" i="18"/>
  <c r="J11" i="16"/>
  <c r="K11" i="16"/>
  <c r="M11" i="16"/>
  <c r="N11" i="16"/>
  <c r="L11" i="16"/>
  <c r="AQ11" i="16"/>
  <c r="AT11" i="16"/>
  <c r="AS11" i="16"/>
  <c r="AR11" i="16"/>
  <c r="AU11" i="16"/>
  <c r="AJ8" i="18"/>
  <c r="AL8" i="18"/>
  <c r="AN8" i="18"/>
  <c r="AM8" i="18"/>
  <c r="AK8" i="18"/>
  <c r="AD13" i="18"/>
  <c r="AF13" i="18"/>
  <c r="AH13" i="18"/>
  <c r="AG13" i="18"/>
  <c r="AE13" i="18"/>
  <c r="AA13" i="18"/>
  <c r="Z13" i="18"/>
  <c r="Y13" i="18"/>
  <c r="X13" i="18"/>
  <c r="P37" i="15"/>
  <c r="N11" i="18"/>
  <c r="M11" i="18"/>
  <c r="L11" i="18"/>
  <c r="K11" i="18"/>
  <c r="J11" i="18"/>
  <c r="AW11" i="18"/>
  <c r="AX11" i="18"/>
  <c r="BA11" i="18"/>
  <c r="AZ11" i="18"/>
  <c r="AY11" i="18"/>
  <c r="R98" i="15"/>
  <c r="R37" i="15"/>
  <c r="I37" i="15"/>
  <c r="I65" i="15"/>
  <c r="C7" i="18"/>
  <c r="I210" i="15"/>
  <c r="I219" i="15" s="1"/>
  <c r="K210" i="15"/>
  <c r="K219" i="15" s="1"/>
  <c r="K98" i="15"/>
  <c r="AF98" i="15"/>
  <c r="AV13" i="18"/>
  <c r="AI9" i="18"/>
  <c r="Y98" i="15"/>
  <c r="C13" i="18"/>
  <c r="V9" i="18"/>
  <c r="H97" i="15"/>
  <c r="I97" i="15"/>
  <c r="W77" i="15"/>
  <c r="AC9" i="16" s="1"/>
  <c r="I10" i="18"/>
  <c r="W37" i="15"/>
  <c r="Y37" i="15"/>
  <c r="AC108" i="3"/>
  <c r="AE108" i="3"/>
  <c r="BL108" i="3"/>
  <c r="AY108" i="3"/>
  <c r="BI108" i="3"/>
  <c r="AO108" i="3"/>
  <c r="V10" i="18"/>
  <c r="AV10" i="18"/>
  <c r="AI10" i="18"/>
  <c r="AP6" i="16"/>
  <c r="AV8" i="16"/>
  <c r="I8" i="16"/>
  <c r="AV6" i="16"/>
  <c r="V8" i="16"/>
  <c r="AI8" i="16"/>
  <c r="I7" i="16"/>
  <c r="V7" i="16"/>
  <c r="AI7" i="16"/>
  <c r="AV7" i="16"/>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G135" i="14"/>
  <c r="BF135" i="14"/>
  <c r="BE135" i="14"/>
  <c r="BA135" i="14"/>
  <c r="AX135" i="14"/>
  <c r="AW135" i="14"/>
  <c r="AV135" i="14"/>
  <c r="AR135" i="14"/>
  <c r="AO135" i="14"/>
  <c r="AN135" i="14"/>
  <c r="AM135" i="14"/>
  <c r="AI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F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K105" i="14"/>
  <c r="AA105" i="14" s="1"/>
  <c r="BN104" i="14"/>
  <c r="BL104" i="14"/>
  <c r="BJ104" i="14"/>
  <c r="BG104" i="14"/>
  <c r="BB104" i="14"/>
  <c r="BA104" i="14"/>
  <c r="AX104" i="14"/>
  <c r="AW104" i="14"/>
  <c r="AR104" i="14"/>
  <c r="AO104" i="14"/>
  <c r="AN104" i="14"/>
  <c r="AJ104" i="14"/>
  <c r="AI104" i="14"/>
  <c r="AF104" i="14"/>
  <c r="AE104" i="14"/>
  <c r="Z104" i="14"/>
  <c r="V104" i="14"/>
  <c r="K104" i="14"/>
  <c r="AQ104" i="14" s="1"/>
  <c r="B104" i="14"/>
  <c r="BP103" i="14"/>
  <c r="BO103" i="14"/>
  <c r="BM103" i="14"/>
  <c r="BL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M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N78" i="14"/>
  <c r="BL78" i="14"/>
  <c r="BJ78" i="14"/>
  <c r="BH78" i="14"/>
  <c r="BG78" i="14"/>
  <c r="BF78" i="14"/>
  <c r="BA78" i="14"/>
  <c r="AZ78" i="14"/>
  <c r="BE78" i="14" s="1"/>
  <c r="AY78" i="14"/>
  <c r="AX78" i="14"/>
  <c r="AW78" i="14"/>
  <c r="AR78" i="14"/>
  <c r="AQ78" i="14"/>
  <c r="BM78" i="14" s="1"/>
  <c r="AP78" i="14"/>
  <c r="AO78" i="14"/>
  <c r="AN78" i="14"/>
  <c r="AI78" i="14"/>
  <c r="AH78" i="14"/>
  <c r="BK78" i="14" s="1"/>
  <c r="AG78" i="14"/>
  <c r="AF78" i="14"/>
  <c r="AE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I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G72" i="14"/>
  <c r="BF72" i="14"/>
  <c r="BE72" i="14"/>
  <c r="BA72" i="14"/>
  <c r="AX72" i="14"/>
  <c r="AW72" i="14"/>
  <c r="AV72" i="14"/>
  <c r="AR72" i="14"/>
  <c r="AO72" i="14"/>
  <c r="AN72" i="14"/>
  <c r="AM72" i="14"/>
  <c r="AI72" i="14"/>
  <c r="AF72" i="14"/>
  <c r="AD72" i="14"/>
  <c r="Z72" i="14"/>
  <c r="W72" i="14"/>
  <c r="AY72" i="14" s="1"/>
  <c r="V72" i="14"/>
  <c r="K72" i="14"/>
  <c r="B72" i="14"/>
  <c r="BP71" i="14"/>
  <c r="BO71" i="14"/>
  <c r="BN71" i="14"/>
  <c r="BM71" i="14"/>
  <c r="BL71" i="14"/>
  <c r="BK71" i="14"/>
  <c r="BI71" i="14"/>
  <c r="BG71" i="14"/>
  <c r="BF71" i="14"/>
  <c r="BE71" i="14"/>
  <c r="BA71" i="14"/>
  <c r="AX71" i="14"/>
  <c r="AW71" i="14"/>
  <c r="AV71" i="14"/>
  <c r="AR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G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F48" i="14"/>
  <c r="BE48" i="14"/>
  <c r="BA48" i="14"/>
  <c r="AY48" i="14"/>
  <c r="AX48" i="14"/>
  <c r="AW48" i="14"/>
  <c r="AV48" i="14"/>
  <c r="AR48" i="14"/>
  <c r="AP48" i="14"/>
  <c r="AN48" i="14"/>
  <c r="AM48" i="14"/>
  <c r="AI48" i="14"/>
  <c r="AG48" i="14"/>
  <c r="AF48" i="14"/>
  <c r="AE48" i="14"/>
  <c r="AD48" i="14"/>
  <c r="Z48" i="14"/>
  <c r="V48" i="14"/>
  <c r="U48" i="14"/>
  <c r="BG48" i="14" s="1"/>
  <c r="B48" i="14"/>
  <c r="BP47" i="14"/>
  <c r="BO47" i="14"/>
  <c r="BN47" i="14"/>
  <c r="BM47" i="14"/>
  <c r="BL47" i="14"/>
  <c r="BK47" i="14"/>
  <c r="BJ47" i="14"/>
  <c r="BI47" i="14"/>
  <c r="BG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AM6" i="28" l="1"/>
  <c r="N9" i="18"/>
  <c r="AQ6" i="28"/>
  <c r="AO6" i="28"/>
  <c r="AP6" i="28"/>
  <c r="AN11" i="18"/>
  <c r="AG107" i="15"/>
  <c r="BB6" i="27" s="1"/>
  <c r="AT11" i="28"/>
  <c r="AL9" i="28"/>
  <c r="AL13" i="28"/>
  <c r="AL10" i="29"/>
  <c r="AA98" i="15"/>
  <c r="AN12" i="28"/>
  <c r="AU11" i="28"/>
  <c r="Z37" i="15"/>
  <c r="AA22" i="15"/>
  <c r="AP12" i="28"/>
  <c r="T210" i="15"/>
  <c r="X9" i="29"/>
  <c r="X10" i="28"/>
  <c r="AO12" i="28"/>
  <c r="T98" i="15"/>
  <c r="X9" i="28"/>
  <c r="X10" i="29"/>
  <c r="AQ12" i="28"/>
  <c r="T107" i="15"/>
  <c r="Y6" i="27" s="1"/>
  <c r="AA210" i="15"/>
  <c r="AL9" i="29"/>
  <c r="AL10" i="28"/>
  <c r="AV11" i="28"/>
  <c r="T226" i="15"/>
  <c r="Y13" i="27" s="1"/>
  <c r="X11" i="28"/>
  <c r="AA219" i="15"/>
  <c r="AN8" i="27" s="1"/>
  <c r="AW11" i="28"/>
  <c r="AA10" i="29"/>
  <c r="K10" i="28"/>
  <c r="L9" i="18"/>
  <c r="AX9" i="18"/>
  <c r="H13" i="17"/>
  <c r="T227" i="15"/>
  <c r="T219" i="15"/>
  <c r="T203" i="15"/>
  <c r="AY9" i="18"/>
  <c r="E7" i="17"/>
  <c r="M9" i="18"/>
  <c r="M13" i="17"/>
  <c r="O10" i="28"/>
  <c r="M10" i="28"/>
  <c r="N10" i="28"/>
  <c r="D13" i="28"/>
  <c r="E13" i="28"/>
  <c r="AZ8" i="27"/>
  <c r="Z7" i="27"/>
  <c r="AD7" i="27"/>
  <c r="AN13" i="18"/>
  <c r="AB7" i="27"/>
  <c r="AA7" i="27"/>
  <c r="AZ9" i="18"/>
  <c r="AV8" i="17"/>
  <c r="BA8" i="17" s="1"/>
  <c r="H13" i="28"/>
  <c r="AW9" i="18"/>
  <c r="Y12" i="28"/>
  <c r="Z12" i="28"/>
  <c r="AB12" i="28"/>
  <c r="AA12" i="28"/>
  <c r="F13" i="28"/>
  <c r="J9" i="18"/>
  <c r="AY8" i="27"/>
  <c r="AW8" i="27"/>
  <c r="K13" i="17"/>
  <c r="AX8" i="27"/>
  <c r="L13" i="17"/>
  <c r="Q8" i="17"/>
  <c r="Y10" i="29"/>
  <c r="AC10" i="29"/>
  <c r="AC9" i="27"/>
  <c r="AB9" i="27"/>
  <c r="AD9" i="27"/>
  <c r="AA9" i="27"/>
  <c r="Z9" i="27"/>
  <c r="L9" i="29"/>
  <c r="X6" i="27"/>
  <c r="Z6" i="27" s="1"/>
  <c r="Z10" i="29"/>
  <c r="K10" i="29"/>
  <c r="L10" i="29"/>
  <c r="M10" i="29"/>
  <c r="N10" i="29"/>
  <c r="O10" i="29"/>
  <c r="W8" i="27"/>
  <c r="S8" i="27"/>
  <c r="V8" i="27"/>
  <c r="T8" i="27"/>
  <c r="U8" i="27"/>
  <c r="AX9" i="28"/>
  <c r="AV9" i="28"/>
  <c r="AW9" i="28"/>
  <c r="AU9" i="28"/>
  <c r="AT9" i="28"/>
  <c r="S9" i="29"/>
  <c r="U9" i="29"/>
  <c r="R9" i="29"/>
  <c r="T9" i="29"/>
  <c r="V9" i="29"/>
  <c r="AJ9" i="29"/>
  <c r="AH9" i="29"/>
  <c r="AF9" i="29"/>
  <c r="AI9" i="29"/>
  <c r="AG9" i="29"/>
  <c r="H7" i="17"/>
  <c r="P107" i="15"/>
  <c r="P225" i="15" s="1"/>
  <c r="D13" i="17"/>
  <c r="AC11" i="28"/>
  <c r="AB11" i="28"/>
  <c r="Y11" i="28"/>
  <c r="AA11" i="28"/>
  <c r="Z11" i="28"/>
  <c r="I98" i="15"/>
  <c r="Z98" i="15"/>
  <c r="AK9" i="28"/>
  <c r="AK13" i="28"/>
  <c r="AK10" i="29"/>
  <c r="Z6" i="29"/>
  <c r="AA6" i="29"/>
  <c r="AB6" i="29"/>
  <c r="AC6" i="29"/>
  <c r="Y6" i="29"/>
  <c r="C8" i="17"/>
  <c r="D8" i="17" s="1"/>
  <c r="D7" i="17"/>
  <c r="G13" i="17"/>
  <c r="S210" i="15"/>
  <c r="W10" i="28"/>
  <c r="W9" i="29"/>
  <c r="H11" i="28"/>
  <c r="D11" i="28"/>
  <c r="G11" i="28"/>
  <c r="E11" i="28"/>
  <c r="F11" i="28"/>
  <c r="U10" i="29"/>
  <c r="V10" i="29"/>
  <c r="R10" i="29"/>
  <c r="S10" i="29"/>
  <c r="T10" i="29"/>
  <c r="BD11" i="28"/>
  <c r="BC11" i="28"/>
  <c r="AZ11" i="28"/>
  <c r="BA11" i="28"/>
  <c r="BB11" i="28"/>
  <c r="K11" i="28"/>
  <c r="M11" i="28"/>
  <c r="L11" i="28"/>
  <c r="O11" i="28"/>
  <c r="N11" i="28"/>
  <c r="T9" i="28"/>
  <c r="U9" i="28"/>
  <c r="R9" i="28"/>
  <c r="S9" i="28"/>
  <c r="V9" i="28"/>
  <c r="F7" i="17"/>
  <c r="AJ8" i="17"/>
  <c r="Q226" i="15"/>
  <c r="R13" i="27" s="1"/>
  <c r="Q11" i="28"/>
  <c r="Q6" i="29"/>
  <c r="AE6" i="29"/>
  <c r="AE11" i="28"/>
  <c r="BC6" i="29"/>
  <c r="BD6" i="29"/>
  <c r="AZ6" i="29"/>
  <c r="BA6" i="29"/>
  <c r="BB6" i="29"/>
  <c r="F13" i="17"/>
  <c r="C7" i="16"/>
  <c r="F7" i="16" s="1"/>
  <c r="AK8" i="17"/>
  <c r="BG8" i="27"/>
  <c r="BC8" i="27"/>
  <c r="BE8" i="27"/>
  <c r="BD8" i="27"/>
  <c r="BF8" i="27"/>
  <c r="AX13" i="28"/>
  <c r="AW13" i="28"/>
  <c r="AV13" i="28"/>
  <c r="AU13" i="28"/>
  <c r="AT13" i="28"/>
  <c r="AG13" i="28"/>
  <c r="AF13" i="28"/>
  <c r="AH13" i="28"/>
  <c r="AJ13" i="28"/>
  <c r="AI13" i="28"/>
  <c r="K9" i="28"/>
  <c r="N9" i="28"/>
  <c r="M9" i="28"/>
  <c r="L9" i="28"/>
  <c r="O9" i="28"/>
  <c r="AK6" i="29"/>
  <c r="L6" i="29"/>
  <c r="K6" i="29"/>
  <c r="N6" i="29"/>
  <c r="O6" i="29"/>
  <c r="M6" i="29"/>
  <c r="BG13" i="27"/>
  <c r="BD13" i="27"/>
  <c r="BE13" i="27"/>
  <c r="BC13" i="27"/>
  <c r="BF13" i="27"/>
  <c r="H6" i="29"/>
  <c r="F6" i="29"/>
  <c r="D6" i="29"/>
  <c r="E6" i="29"/>
  <c r="G6" i="29"/>
  <c r="AU6" i="29"/>
  <c r="AV6" i="29"/>
  <c r="AW6" i="29"/>
  <c r="AT6" i="29"/>
  <c r="AX6" i="29"/>
  <c r="AF9" i="28"/>
  <c r="AH9" i="28"/>
  <c r="AI9" i="28"/>
  <c r="AJ9" i="28"/>
  <c r="AG9" i="28"/>
  <c r="AK11" i="28"/>
  <c r="AI8" i="27"/>
  <c r="AL8" i="27"/>
  <c r="AJ8" i="27"/>
  <c r="AH8" i="27"/>
  <c r="AK8" i="27"/>
  <c r="AY9" i="28"/>
  <c r="AG98" i="15"/>
  <c r="AY10" i="29"/>
  <c r="AY13" i="28"/>
  <c r="BC9" i="29"/>
  <c r="BA9" i="29"/>
  <c r="BB9" i="29"/>
  <c r="BD9" i="29"/>
  <c r="AZ9" i="29"/>
  <c r="R107" i="15"/>
  <c r="R225" i="15" s="1"/>
  <c r="AK9" i="29"/>
  <c r="AK10" i="28"/>
  <c r="BD10" i="28"/>
  <c r="AZ10" i="28"/>
  <c r="BB10" i="28"/>
  <c r="BC10" i="28"/>
  <c r="BA10" i="28"/>
  <c r="AC9" i="28"/>
  <c r="AA9" i="28"/>
  <c r="AB9" i="28"/>
  <c r="Y9" i="28"/>
  <c r="Z9" i="28"/>
  <c r="H7" i="27"/>
  <c r="G7" i="27"/>
  <c r="E7" i="27"/>
  <c r="F7" i="27"/>
  <c r="D7" i="27"/>
  <c r="H13" i="27"/>
  <c r="E13" i="27"/>
  <c r="F13" i="27"/>
  <c r="G13" i="27"/>
  <c r="D13" i="27"/>
  <c r="T10" i="28"/>
  <c r="U10" i="28"/>
  <c r="R10" i="28"/>
  <c r="V10" i="28"/>
  <c r="S10" i="28"/>
  <c r="AF10" i="28"/>
  <c r="AG10" i="28"/>
  <c r="AJ10" i="28"/>
  <c r="AH10" i="28"/>
  <c r="AI10" i="28"/>
  <c r="J13" i="17"/>
  <c r="I8" i="17"/>
  <c r="L8" i="17" s="1"/>
  <c r="K13" i="27"/>
  <c r="L13" i="27"/>
  <c r="O13" i="27"/>
  <c r="M13" i="27"/>
  <c r="N13" i="27"/>
  <c r="S8" i="17"/>
  <c r="U8" i="17"/>
  <c r="R8" i="17"/>
  <c r="S9" i="17"/>
  <c r="AM11" i="18"/>
  <c r="R9" i="17"/>
  <c r="AJ11" i="18"/>
  <c r="V8" i="17"/>
  <c r="W8" i="17" s="1"/>
  <c r="T9" i="17"/>
  <c r="Z107" i="15"/>
  <c r="AK11" i="18"/>
  <c r="U9" i="17"/>
  <c r="Z210" i="15"/>
  <c r="Z219" i="15"/>
  <c r="AM8" i="27" s="1"/>
  <c r="AM13" i="18"/>
  <c r="AL8" i="17"/>
  <c r="AJ13" i="18"/>
  <c r="AM8" i="17"/>
  <c r="AK13" i="18"/>
  <c r="Z226" i="15"/>
  <c r="X37" i="15"/>
  <c r="X226" i="15"/>
  <c r="AG13" i="27" s="1"/>
  <c r="X107" i="15"/>
  <c r="Z227" i="15"/>
  <c r="Q107" i="15"/>
  <c r="Q37" i="15"/>
  <c r="S227" i="15"/>
  <c r="S226" i="15"/>
  <c r="S219" i="15"/>
  <c r="V13" i="17"/>
  <c r="X13" i="17" s="1"/>
  <c r="P9" i="16"/>
  <c r="Q9" i="16" s="1"/>
  <c r="AE13" i="17"/>
  <c r="AF13" i="17"/>
  <c r="U13" i="17"/>
  <c r="AG13" i="17"/>
  <c r="R13" i="17"/>
  <c r="Q13" i="17"/>
  <c r="AH13" i="17"/>
  <c r="T13" i="17"/>
  <c r="AY13" i="17"/>
  <c r="BA13" i="17"/>
  <c r="AZ13" i="17"/>
  <c r="AW13" i="17"/>
  <c r="AX13" i="17"/>
  <c r="AN13" i="17"/>
  <c r="AM13" i="17"/>
  <c r="AJ13" i="17"/>
  <c r="AL13" i="17"/>
  <c r="AK13" i="17"/>
  <c r="P6" i="16"/>
  <c r="AA11" i="18"/>
  <c r="Y11" i="18"/>
  <c r="X11" i="18"/>
  <c r="Z11" i="18"/>
  <c r="BA7" i="16"/>
  <c r="AX7" i="16"/>
  <c r="AZ7" i="16"/>
  <c r="AY7" i="16"/>
  <c r="AW7" i="16"/>
  <c r="AX8" i="16"/>
  <c r="AZ8" i="16"/>
  <c r="AW8" i="16"/>
  <c r="BA8" i="16"/>
  <c r="AY8" i="16"/>
  <c r="AD9" i="16"/>
  <c r="AH9" i="16"/>
  <c r="AG9" i="16"/>
  <c r="AF9" i="16"/>
  <c r="AE9" i="16"/>
  <c r="AW13" i="18"/>
  <c r="AY13" i="18"/>
  <c r="BA13" i="18"/>
  <c r="AZ13" i="18"/>
  <c r="AX13" i="18"/>
  <c r="AM7" i="16"/>
  <c r="AL7" i="16"/>
  <c r="AK7" i="16"/>
  <c r="AJ7" i="16"/>
  <c r="AN7" i="16"/>
  <c r="AQ6" i="16"/>
  <c r="AT6" i="16"/>
  <c r="AS6" i="16"/>
  <c r="AR6" i="16"/>
  <c r="AU6" i="16"/>
  <c r="Q10" i="18"/>
  <c r="U10" i="18"/>
  <c r="T10" i="18"/>
  <c r="S10" i="18"/>
  <c r="R10" i="18"/>
  <c r="W7" i="16"/>
  <c r="AA7" i="16"/>
  <c r="Z7" i="16"/>
  <c r="Y7" i="16"/>
  <c r="X7" i="16"/>
  <c r="AD11" i="18"/>
  <c r="AF11" i="18"/>
  <c r="AH11" i="18"/>
  <c r="AG11" i="18"/>
  <c r="AE11" i="18"/>
  <c r="J7" i="16"/>
  <c r="L7" i="16"/>
  <c r="K7" i="16"/>
  <c r="N7" i="16"/>
  <c r="M7" i="16"/>
  <c r="AJ10" i="18"/>
  <c r="AL10" i="18"/>
  <c r="AN10" i="18"/>
  <c r="AM10" i="18"/>
  <c r="AK10" i="18"/>
  <c r="AN8" i="16"/>
  <c r="AM8" i="16"/>
  <c r="AJ8" i="16"/>
  <c r="AL8" i="16"/>
  <c r="AK8" i="16"/>
  <c r="AW10" i="18"/>
  <c r="AX10" i="18"/>
  <c r="AZ10" i="18"/>
  <c r="BA10" i="18"/>
  <c r="AY10" i="18"/>
  <c r="W9" i="18"/>
  <c r="Y9" i="18"/>
  <c r="AA9" i="18"/>
  <c r="Z9" i="18"/>
  <c r="X9" i="18"/>
  <c r="W8" i="16"/>
  <c r="Y8" i="16"/>
  <c r="AA8" i="16"/>
  <c r="X8" i="16"/>
  <c r="Z8" i="16"/>
  <c r="W10" i="18"/>
  <c r="AA10" i="18"/>
  <c r="Z10" i="18"/>
  <c r="Y10" i="18"/>
  <c r="X10" i="18"/>
  <c r="D13" i="18"/>
  <c r="H13" i="18"/>
  <c r="G13" i="18"/>
  <c r="F13" i="18"/>
  <c r="E13" i="18"/>
  <c r="AD10" i="18"/>
  <c r="AH10" i="18"/>
  <c r="AG10" i="18"/>
  <c r="AF10" i="18"/>
  <c r="AE10" i="18"/>
  <c r="D7" i="18"/>
  <c r="H7" i="18"/>
  <c r="G7" i="18"/>
  <c r="F7" i="18"/>
  <c r="E7" i="18"/>
  <c r="H11" i="18"/>
  <c r="G11" i="18"/>
  <c r="F11" i="18"/>
  <c r="E11" i="18"/>
  <c r="J8" i="16"/>
  <c r="N8" i="16"/>
  <c r="M8" i="16"/>
  <c r="L8" i="16"/>
  <c r="K8" i="16"/>
  <c r="J10" i="18"/>
  <c r="N10" i="18"/>
  <c r="M10" i="18"/>
  <c r="L10" i="18"/>
  <c r="K10" i="18"/>
  <c r="AJ9" i="18"/>
  <c r="AN9" i="18"/>
  <c r="AM9" i="18"/>
  <c r="AL9" i="18"/>
  <c r="AK9" i="18"/>
  <c r="S11" i="18"/>
  <c r="T11" i="18"/>
  <c r="U11" i="18"/>
  <c r="R11" i="18"/>
  <c r="Q11" i="18"/>
  <c r="AX6" i="16"/>
  <c r="AZ6" i="16"/>
  <c r="AW6" i="16"/>
  <c r="BA6" i="16"/>
  <c r="AY6" i="16"/>
  <c r="F8" i="17"/>
  <c r="Z147" i="14"/>
  <c r="BH135" i="14"/>
  <c r="AA72" i="14"/>
  <c r="BJ72" i="14" s="1"/>
  <c r="BH72" i="14"/>
  <c r="BO78" i="14"/>
  <c r="W105" i="14"/>
  <c r="AG105" i="14" s="1"/>
  <c r="AO48" i="14"/>
  <c r="AD78" i="14"/>
  <c r="BN103" i="14"/>
  <c r="AP71" i="14"/>
  <c r="AZ104" i="14"/>
  <c r="AG135" i="14"/>
  <c r="BH71" i="14"/>
  <c r="AG72" i="14"/>
  <c r="K107" i="15"/>
  <c r="L107" i="15" s="1"/>
  <c r="M107" i="15" s="1"/>
  <c r="I9" i="16"/>
  <c r="C9" i="18"/>
  <c r="AC6" i="17"/>
  <c r="AC6" i="16"/>
  <c r="C6" i="16"/>
  <c r="AV9" i="16"/>
  <c r="AI6" i="16"/>
  <c r="C8" i="16"/>
  <c r="I6" i="16"/>
  <c r="AI9" i="16"/>
  <c r="V9" i="16"/>
  <c r="V6" i="16"/>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AG225" i="15" l="1"/>
  <c r="BB11" i="27" s="1"/>
  <c r="BD11" i="27" s="1"/>
  <c r="J8" i="17"/>
  <c r="N8" i="17"/>
  <c r="AX8" i="17"/>
  <c r="AZ8" i="17"/>
  <c r="E8" i="17"/>
  <c r="G8" i="17"/>
  <c r="AD6" i="27"/>
  <c r="H8" i="17"/>
  <c r="T225" i="15"/>
  <c r="Y11" i="27" s="1"/>
  <c r="Y8" i="27"/>
  <c r="AA37" i="15"/>
  <c r="AL11" i="28"/>
  <c r="AL6" i="29"/>
  <c r="AA107" i="15"/>
  <c r="AA226" i="15"/>
  <c r="AN13" i="27" s="1"/>
  <c r="AM13" i="27"/>
  <c r="AP13" i="27" s="1"/>
  <c r="AA6" i="27"/>
  <c r="AW8" i="17"/>
  <c r="AY8" i="17"/>
  <c r="G7" i="16"/>
  <c r="D7" i="16"/>
  <c r="E7" i="16"/>
  <c r="O9" i="29"/>
  <c r="H7" i="16"/>
  <c r="K8" i="17"/>
  <c r="M8" i="17"/>
  <c r="AC6" i="27"/>
  <c r="AB6" i="27"/>
  <c r="N9" i="29"/>
  <c r="M9" i="29"/>
  <c r="K9" i="29"/>
  <c r="X13" i="27"/>
  <c r="AD13" i="27" s="1"/>
  <c r="S6" i="29"/>
  <c r="V6" i="29"/>
  <c r="T6" i="29"/>
  <c r="U6" i="29"/>
  <c r="R6" i="29"/>
  <c r="AR8" i="27"/>
  <c r="AO8" i="27"/>
  <c r="AP8" i="27"/>
  <c r="AQ8" i="27"/>
  <c r="AS8" i="27"/>
  <c r="T11" i="28"/>
  <c r="U11" i="28"/>
  <c r="R11" i="28"/>
  <c r="V11" i="28"/>
  <c r="S11" i="28"/>
  <c r="BG6" i="27"/>
  <c r="BE6" i="27"/>
  <c r="BC6" i="27"/>
  <c r="BF6" i="27"/>
  <c r="BD6" i="27"/>
  <c r="V13" i="27"/>
  <c r="W13" i="27"/>
  <c r="S13" i="27"/>
  <c r="U13" i="27"/>
  <c r="T13" i="27"/>
  <c r="AN10" i="29"/>
  <c r="AM10" i="29"/>
  <c r="AO10" i="29"/>
  <c r="AP10" i="29"/>
  <c r="AQ10" i="29"/>
  <c r="H8" i="27"/>
  <c r="G8" i="27"/>
  <c r="E8" i="27"/>
  <c r="F8" i="27"/>
  <c r="D8" i="27"/>
  <c r="AP13" i="28"/>
  <c r="AM13" i="28"/>
  <c r="AO13" i="28"/>
  <c r="AN13" i="28"/>
  <c r="AQ13" i="28"/>
  <c r="AH13" i="27"/>
  <c r="AJ13" i="27"/>
  <c r="AL13" i="27"/>
  <c r="AI13" i="27"/>
  <c r="AK13" i="27"/>
  <c r="BF11" i="27"/>
  <c r="AO9" i="28"/>
  <c r="AM9" i="28"/>
  <c r="AN9" i="28"/>
  <c r="AP9" i="28"/>
  <c r="AQ9" i="28"/>
  <c r="Q225" i="15"/>
  <c r="R11" i="27" s="1"/>
  <c r="R6" i="27"/>
  <c r="Z225" i="15"/>
  <c r="AM6" i="27"/>
  <c r="AM10" i="28"/>
  <c r="AO10" i="28"/>
  <c r="AP10" i="28"/>
  <c r="AN10" i="28"/>
  <c r="AQ10" i="28"/>
  <c r="BD13" i="28"/>
  <c r="AZ13" i="28"/>
  <c r="BB13" i="28"/>
  <c r="BC13" i="28"/>
  <c r="BA13" i="28"/>
  <c r="BD9" i="28"/>
  <c r="AZ9" i="28"/>
  <c r="BA9" i="28"/>
  <c r="BB9" i="28"/>
  <c r="BC9" i="28"/>
  <c r="I6" i="17"/>
  <c r="N6" i="17" s="1"/>
  <c r="K6" i="27"/>
  <c r="AN9" i="29"/>
  <c r="AM9" i="29"/>
  <c r="AP9" i="29"/>
  <c r="AQ9" i="29"/>
  <c r="AO9" i="29"/>
  <c r="BC10" i="29"/>
  <c r="BD10" i="29"/>
  <c r="AZ10" i="29"/>
  <c r="BA10" i="29"/>
  <c r="BB10" i="29"/>
  <c r="AM11" i="28"/>
  <c r="AO11" i="28"/>
  <c r="AQ11" i="28"/>
  <c r="AN11" i="28"/>
  <c r="AP11" i="28"/>
  <c r="H7" i="29"/>
  <c r="F7" i="29"/>
  <c r="E7" i="29"/>
  <c r="D7" i="29"/>
  <c r="G7" i="29"/>
  <c r="AF11" i="28"/>
  <c r="AI11" i="28"/>
  <c r="AJ11" i="28"/>
  <c r="AH11" i="28"/>
  <c r="AG11" i="28"/>
  <c r="AC9" i="29"/>
  <c r="AA9" i="29"/>
  <c r="Y9" i="29"/>
  <c r="AB9" i="29"/>
  <c r="Z9" i="29"/>
  <c r="H9" i="28"/>
  <c r="D9" i="28"/>
  <c r="E9" i="28"/>
  <c r="G9" i="28"/>
  <c r="F9" i="28"/>
  <c r="AN6" i="29"/>
  <c r="AQ6" i="29"/>
  <c r="AM6" i="29"/>
  <c r="AO6" i="29"/>
  <c r="AP6" i="29"/>
  <c r="X225" i="15"/>
  <c r="AG11" i="27" s="1"/>
  <c r="AG6" i="27"/>
  <c r="AJ6" i="29"/>
  <c r="AH6" i="29"/>
  <c r="AF6" i="29"/>
  <c r="AG6" i="29"/>
  <c r="AI6" i="29"/>
  <c r="AC10" i="28"/>
  <c r="AA10" i="28"/>
  <c r="AB10" i="28"/>
  <c r="Z10" i="28"/>
  <c r="Y10" i="28"/>
  <c r="H10" i="29"/>
  <c r="D10" i="29"/>
  <c r="E10" i="29"/>
  <c r="F10" i="29"/>
  <c r="G10" i="29"/>
  <c r="S225" i="15"/>
  <c r="X8" i="27"/>
  <c r="X8" i="17"/>
  <c r="AA8" i="17"/>
  <c r="K8" i="27"/>
  <c r="N8" i="27"/>
  <c r="L8" i="27"/>
  <c r="O8" i="27"/>
  <c r="M8" i="27"/>
  <c r="Y8" i="17"/>
  <c r="Z8" i="17"/>
  <c r="AV6" i="17"/>
  <c r="BA6" i="17" s="1"/>
  <c r="S9" i="16"/>
  <c r="T9" i="16"/>
  <c r="U9" i="16"/>
  <c r="R9" i="16"/>
  <c r="W13" i="17"/>
  <c r="AA13" i="17"/>
  <c r="Z13" i="17"/>
  <c r="Y13" i="17"/>
  <c r="V6" i="17"/>
  <c r="AI6" i="17"/>
  <c r="AJ6" i="17" s="1"/>
  <c r="Y225" i="15"/>
  <c r="P6" i="17"/>
  <c r="U6" i="17" s="1"/>
  <c r="W9" i="16"/>
  <c r="X9" i="16"/>
  <c r="AA9" i="16"/>
  <c r="Z9" i="16"/>
  <c r="Y9" i="16"/>
  <c r="AK9" i="16"/>
  <c r="AM9" i="16"/>
  <c r="AJ9" i="16"/>
  <c r="AN9" i="16"/>
  <c r="AL9" i="16"/>
  <c r="AD6" i="16"/>
  <c r="AF6" i="16"/>
  <c r="AH6" i="16"/>
  <c r="AG6" i="16"/>
  <c r="AE6" i="16"/>
  <c r="AD6" i="17"/>
  <c r="AF6" i="17"/>
  <c r="AE6" i="17"/>
  <c r="AH6" i="17"/>
  <c r="AG6" i="17"/>
  <c r="D9" i="18"/>
  <c r="H9" i="18"/>
  <c r="G9" i="18"/>
  <c r="E9" i="18"/>
  <c r="F9" i="18"/>
  <c r="H8" i="16"/>
  <c r="G8" i="16"/>
  <c r="F8" i="16"/>
  <c r="E8" i="16"/>
  <c r="D8" i="16"/>
  <c r="J9" i="16"/>
  <c r="L9" i="16"/>
  <c r="K9" i="16"/>
  <c r="N9" i="16"/>
  <c r="M9" i="16"/>
  <c r="AW9" i="16"/>
  <c r="BA9" i="16"/>
  <c r="AZ9" i="16"/>
  <c r="AY9" i="16"/>
  <c r="AX9" i="16"/>
  <c r="D6" i="16"/>
  <c r="H6" i="16"/>
  <c r="G6" i="16"/>
  <c r="F6" i="16"/>
  <c r="E6" i="16"/>
  <c r="Q6" i="16"/>
  <c r="R6" i="16"/>
  <c r="S6" i="16"/>
  <c r="U6" i="16"/>
  <c r="T6" i="16"/>
  <c r="J6" i="16"/>
  <c r="N6" i="16"/>
  <c r="M6" i="16"/>
  <c r="L6" i="16"/>
  <c r="K6" i="16"/>
  <c r="W6" i="16"/>
  <c r="X6" i="16"/>
  <c r="Z6" i="16"/>
  <c r="AA6" i="16"/>
  <c r="Y6" i="16"/>
  <c r="AL6" i="16"/>
  <c r="AJ6" i="16"/>
  <c r="AK6" i="16"/>
  <c r="AN6" i="16"/>
  <c r="AM6" i="16"/>
  <c r="BJ67" i="14"/>
  <c r="AE67" i="14"/>
  <c r="BL97" i="14"/>
  <c r="AN97" i="14"/>
  <c r="AP104" i="14"/>
  <c r="AY104" i="14"/>
  <c r="AG104" i="14"/>
  <c r="BH104" i="14"/>
  <c r="Y104" i="14"/>
  <c r="AH104" i="14"/>
  <c r="AE66" i="14"/>
  <c r="BJ66" i="14"/>
  <c r="AS105" i="14"/>
  <c r="BL105" i="14"/>
  <c r="BC11" i="27" l="1"/>
  <c r="BG11" i="27"/>
  <c r="BE11" i="27"/>
  <c r="AQ13" i="27"/>
  <c r="AS13" i="27"/>
  <c r="AA225" i="15"/>
  <c r="AN11" i="27" s="1"/>
  <c r="AN6" i="27"/>
  <c r="AR13" i="27"/>
  <c r="AO13" i="27"/>
  <c r="AM11" i="27"/>
  <c r="AR11" i="27" s="1"/>
  <c r="AA6" i="17"/>
  <c r="X6" i="17"/>
  <c r="Z13" i="27"/>
  <c r="J6" i="17"/>
  <c r="AC13" i="27"/>
  <c r="AB13" i="27"/>
  <c r="AA13" i="27"/>
  <c r="AY6" i="17"/>
  <c r="X11" i="27"/>
  <c r="U6" i="27"/>
  <c r="W6" i="27"/>
  <c r="V6" i="27"/>
  <c r="S6" i="27"/>
  <c r="T6" i="27"/>
  <c r="W11" i="27"/>
  <c r="V11" i="27"/>
  <c r="S11" i="27"/>
  <c r="T11" i="27"/>
  <c r="U11" i="27"/>
  <c r="AW6" i="17"/>
  <c r="K6" i="17"/>
  <c r="L6" i="17"/>
  <c r="AH6" i="27"/>
  <c r="AI6" i="27"/>
  <c r="AL6" i="27"/>
  <c r="AJ6" i="27"/>
  <c r="AK6" i="27"/>
  <c r="AO6" i="27"/>
  <c r="AQ6" i="27"/>
  <c r="AR6" i="27"/>
  <c r="AP6" i="27"/>
  <c r="AS6" i="27"/>
  <c r="AH11" i="27"/>
  <c r="AI11" i="27"/>
  <c r="AL11" i="27"/>
  <c r="AJ11" i="27"/>
  <c r="AK11" i="27"/>
  <c r="M6" i="17"/>
  <c r="M6" i="27"/>
  <c r="L6" i="27"/>
  <c r="O6" i="27"/>
  <c r="N6" i="27"/>
  <c r="AD8" i="27"/>
  <c r="AB8" i="27"/>
  <c r="AC8" i="27"/>
  <c r="Z8" i="27"/>
  <c r="AA8" i="27"/>
  <c r="AX6" i="17"/>
  <c r="AZ6" i="17"/>
  <c r="Y6" i="17"/>
  <c r="Z6" i="17"/>
  <c r="W6" i="17"/>
  <c r="AK6" i="17"/>
  <c r="AM6" i="17"/>
  <c r="AL6" i="17"/>
  <c r="AN6" i="17"/>
  <c r="Q6" i="17"/>
  <c r="R6" i="17"/>
  <c r="S6" i="17"/>
  <c r="T6" i="17"/>
  <c r="BK104" i="14"/>
  <c r="AM104" i="14"/>
  <c r="BI104" i="14"/>
  <c r="AD104" i="14"/>
  <c r="BB105" i="14"/>
  <c r="BP105" i="14" s="1"/>
  <c r="BN105" i="14"/>
  <c r="AS11" i="27" l="1"/>
  <c r="AQ11" i="27"/>
  <c r="AP11" i="27"/>
  <c r="AO11" i="27"/>
  <c r="AD11" i="27"/>
  <c r="AA11" i="27"/>
  <c r="AC11" i="27"/>
  <c r="Z11" i="27"/>
  <c r="AB11" i="27"/>
  <c r="K102" i="14"/>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6" i="13"/>
  <c r="E7" i="13"/>
  <c r="E9" i="13"/>
  <c r="E10" i="13"/>
  <c r="E5" i="13"/>
  <c r="E4" i="13"/>
  <c r="E3" i="13"/>
  <c r="E8" i="13"/>
  <c r="H7" i="13" l="1"/>
  <c r="H6" i="13"/>
  <c r="H4" i="13"/>
  <c r="H10" i="13"/>
  <c r="H8" i="13"/>
  <c r="H3" i="13"/>
  <c r="E13" i="13"/>
  <c r="H5" i="13"/>
  <c r="H9" i="13"/>
  <c r="H13" i="13" l="1"/>
  <c r="C10" i="16"/>
  <c r="B21" i="13"/>
  <c r="G10" i="16" l="1"/>
  <c r="F10" i="16"/>
  <c r="E10" i="16"/>
  <c r="D10" i="16"/>
  <c r="H10" i="16"/>
  <c r="I10" i="16"/>
  <c r="N10" i="16" l="1"/>
  <c r="M10" i="16"/>
  <c r="L10" i="16"/>
  <c r="K10" i="16"/>
  <c r="J10" i="16"/>
  <c r="K225" i="15"/>
  <c r="I7" i="17"/>
  <c r="V10" i="16"/>
  <c r="V7" i="17"/>
  <c r="I11" i="17" l="1"/>
  <c r="J11" i="17" s="1"/>
  <c r="X10" i="16"/>
  <c r="W10" i="16"/>
  <c r="Z10" i="16"/>
  <c r="AA10" i="16"/>
  <c r="Y10" i="16"/>
  <c r="J7" i="17"/>
  <c r="L7" i="17"/>
  <c r="N7" i="17"/>
  <c r="K7" i="17"/>
  <c r="M7" i="17"/>
  <c r="W7" i="17"/>
  <c r="Y7" i="17"/>
  <c r="X7" i="17"/>
  <c r="AA7" i="17"/>
  <c r="Z7" i="17"/>
  <c r="AI11" i="17"/>
  <c r="AI10" i="16"/>
  <c r="AV10" i="16"/>
  <c r="M11" i="17" l="1"/>
  <c r="K11" i="17"/>
  <c r="L11" i="17"/>
  <c r="N11" i="17"/>
  <c r="K11" i="27"/>
  <c r="M11" i="27"/>
  <c r="N11" i="27"/>
  <c r="O11" i="27"/>
  <c r="L11" i="27"/>
  <c r="V11" i="17"/>
  <c r="W11" i="17" s="1"/>
  <c r="AF225" i="15"/>
  <c r="AN10" i="16"/>
  <c r="AM10" i="16"/>
  <c r="AL10" i="16"/>
  <c r="AK10" i="16"/>
  <c r="AJ10" i="16"/>
  <c r="AW10" i="16"/>
  <c r="AX10" i="16"/>
  <c r="AZ10" i="16"/>
  <c r="BA10" i="16"/>
  <c r="AY10" i="16"/>
  <c r="AJ11" i="17"/>
  <c r="AN11" i="17"/>
  <c r="AM11" i="17"/>
  <c r="AL11" i="17"/>
  <c r="AK11" i="17"/>
  <c r="AV7" i="17"/>
  <c r="AI7" i="17"/>
  <c r="Z11" i="17" l="1"/>
  <c r="AA11" i="17"/>
  <c r="X11" i="17"/>
  <c r="Y11" i="17"/>
  <c r="AV11" i="17"/>
  <c r="BA11" i="17" s="1"/>
  <c r="AJ7" i="17"/>
  <c r="AN7" i="17"/>
  <c r="AM7" i="17"/>
  <c r="AL7" i="17"/>
  <c r="AK7" i="17"/>
  <c r="AW7" i="17"/>
  <c r="BA7" i="17"/>
  <c r="AZ7" i="17"/>
  <c r="AY7" i="17"/>
  <c r="AX7" i="17"/>
  <c r="AD80" i="3"/>
  <c r="BV80" i="3"/>
  <c r="AA80" i="3"/>
  <c r="AE80" i="3" s="1"/>
  <c r="X80" i="3"/>
  <c r="BM80" i="3"/>
  <c r="I66" i="15" s="1"/>
  <c r="AY11" i="17" l="1"/>
  <c r="AW11" i="17"/>
  <c r="AZ11" i="17"/>
  <c r="AX11" i="17"/>
  <c r="I226" i="15"/>
  <c r="AY80" i="3"/>
  <c r="BT80" i="3"/>
  <c r="BB80" i="3"/>
  <c r="BI80" i="3"/>
  <c r="AO80" i="3"/>
  <c r="H66" i="15"/>
  <c r="C10" i="18"/>
  <c r="I77" i="15"/>
  <c r="BL80" i="3"/>
  <c r="AC80" i="3"/>
  <c r="H9" i="29" l="1"/>
  <c r="D9" i="29"/>
  <c r="F9" i="29"/>
  <c r="G9" i="29"/>
  <c r="E9" i="29"/>
  <c r="H10" i="28"/>
  <c r="D10" i="28"/>
  <c r="E10" i="28"/>
  <c r="F10" i="28"/>
  <c r="G10" i="28"/>
  <c r="D10" i="18"/>
  <c r="F10" i="18"/>
  <c r="H10" i="18"/>
  <c r="G10" i="18"/>
  <c r="E10" i="18"/>
  <c r="BG80" i="3"/>
  <c r="BD80" i="3"/>
  <c r="BR80" i="3"/>
  <c r="I107" i="15"/>
  <c r="C9" i="16"/>
  <c r="I225" i="15" l="1"/>
  <c r="D9" i="16"/>
  <c r="F9" i="16"/>
  <c r="H9" i="16"/>
  <c r="G9" i="16"/>
  <c r="E9" i="16"/>
  <c r="BH80" i="3"/>
  <c r="BS80" i="3"/>
  <c r="AD66" i="15" s="1"/>
  <c r="C6" i="17"/>
  <c r="J225" i="15" l="1"/>
  <c r="C11" i="17"/>
  <c r="G11" i="17" s="1"/>
  <c r="AD226" i="15"/>
  <c r="AP13" i="17" s="1"/>
  <c r="AQ13" i="17" s="1"/>
  <c r="AE66" i="15"/>
  <c r="BH6" i="27"/>
  <c r="AD107" i="15"/>
  <c r="BH11" i="27"/>
  <c r="H6" i="27"/>
  <c r="G6" i="27"/>
  <c r="F6" i="27"/>
  <c r="E6" i="27"/>
  <c r="D6" i="27"/>
  <c r="H11" i="27"/>
  <c r="D11" i="27"/>
  <c r="G11" i="27"/>
  <c r="E11" i="27"/>
  <c r="F11" i="27"/>
  <c r="F11" i="17"/>
  <c r="D6" i="17"/>
  <c r="F6" i="17"/>
  <c r="E6" i="17"/>
  <c r="H6" i="17"/>
  <c r="G6" i="17"/>
  <c r="AD77" i="15"/>
  <c r="AP10" i="18"/>
  <c r="D11" i="17" l="1"/>
  <c r="E11" i="17"/>
  <c r="H11" i="17"/>
  <c r="AS13" i="17"/>
  <c r="AU13" i="17"/>
  <c r="AT13" i="17"/>
  <c r="AR13" i="17"/>
  <c r="AS9" i="29"/>
  <c r="AS10" i="28"/>
  <c r="AE77" i="15"/>
  <c r="AE226" i="15"/>
  <c r="AV13" i="27" s="1"/>
  <c r="AE107" i="15"/>
  <c r="AQ10" i="18"/>
  <c r="AU10" i="18"/>
  <c r="AT10" i="18"/>
  <c r="AS10" i="18"/>
  <c r="AR10" i="18"/>
  <c r="AP9" i="16"/>
  <c r="AV10" i="28" l="1"/>
  <c r="AX10" i="28"/>
  <c r="AW10" i="28"/>
  <c r="AU10" i="28"/>
  <c r="AT10" i="28"/>
  <c r="AZ13" i="27"/>
  <c r="BA13" i="27"/>
  <c r="AY13" i="27"/>
  <c r="AW13" i="27"/>
  <c r="AX13" i="27"/>
  <c r="AW9" i="29"/>
  <c r="AV9" i="29"/>
  <c r="AU9" i="29"/>
  <c r="AT9" i="29"/>
  <c r="AX9" i="29"/>
  <c r="AV6" i="27"/>
  <c r="AE225" i="15"/>
  <c r="AV11" i="27" s="1"/>
  <c r="AQ9" i="16"/>
  <c r="AU9" i="16"/>
  <c r="AR9" i="16"/>
  <c r="AT9" i="16"/>
  <c r="AS9" i="16"/>
  <c r="AP6" i="17"/>
  <c r="P10" i="16"/>
  <c r="BA6" i="27" l="1"/>
  <c r="AY6" i="27"/>
  <c r="AW6" i="27"/>
  <c r="AZ6" i="27"/>
  <c r="AX6" i="27"/>
  <c r="BA11" i="27"/>
  <c r="AW11" i="27"/>
  <c r="AZ11" i="27"/>
  <c r="AX11" i="27"/>
  <c r="AY11" i="27"/>
  <c r="AQ6" i="17"/>
  <c r="AU6" i="17"/>
  <c r="AT6" i="17"/>
  <c r="AS6" i="17"/>
  <c r="AR6" i="17"/>
  <c r="Q10" i="16"/>
  <c r="S10" i="16"/>
  <c r="R10" i="16"/>
  <c r="U10" i="16"/>
  <c r="T10" i="16"/>
  <c r="P11" i="17"/>
  <c r="U7" i="17" l="1"/>
  <c r="S7" i="17"/>
  <c r="T7" i="17"/>
  <c r="R7" i="17"/>
  <c r="Q7" i="17"/>
  <c r="U11" i="17"/>
  <c r="T11" i="17"/>
  <c r="S11" i="17"/>
  <c r="R11" i="17"/>
  <c r="Q11" i="17"/>
  <c r="W225" i="15"/>
  <c r="AC11" i="17" s="1"/>
  <c r="AC7" i="17"/>
  <c r="AG7" i="17" s="1"/>
  <c r="AH11" i="17" l="1"/>
  <c r="AE11" i="17"/>
  <c r="AH7" i="17"/>
  <c r="AD7" i="17"/>
  <c r="AF11" i="17"/>
  <c r="AE7" i="17"/>
  <c r="AD11" i="17"/>
  <c r="AF7" i="17"/>
  <c r="AG11" i="17"/>
  <c r="AP7" i="17"/>
  <c r="AR7" i="17" s="1"/>
  <c r="AD225" i="15"/>
  <c r="AP11" i="17" s="1"/>
  <c r="AT11" i="17" l="1"/>
  <c r="AQ11" i="17"/>
  <c r="AS11" i="17"/>
  <c r="AU11" i="17"/>
  <c r="AR11" i="17"/>
  <c r="AQ7" i="17"/>
  <c r="AT7" i="17"/>
  <c r="AU7" i="17"/>
  <c r="AS7" i="17"/>
  <c r="AH10" i="29"/>
  <c r="AJ10" i="29"/>
  <c r="AF10" i="29"/>
  <c r="AI10" i="29"/>
  <c r="AG10" i="29"/>
  <c r="AX10" i="29"/>
  <c r="AW10" i="29"/>
  <c r="AT10" i="29"/>
  <c r="AV10" i="29"/>
  <c r="AU10" i="29"/>
  <c r="AG10" i="16"/>
  <c r="AH10" i="16"/>
  <c r="AD10" i="16"/>
  <c r="AF10" i="16"/>
  <c r="AE10" i="16"/>
  <c r="AT10" i="16"/>
  <c r="AU10" i="16"/>
  <c r="AR10" i="16"/>
  <c r="AS10" i="16"/>
  <c r="AQ10" i="16"/>
  <c r="W167" i="15"/>
  <c r="AC10" i="16"/>
  <c r="AD167" i="15"/>
  <c r="AP10" i="16"/>
  <c r="X167" i="15"/>
  <c r="AE16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BORDA RIVAS</author>
  </authors>
  <commentList>
    <comment ref="W103" authorId="0" shapeId="0" xr:uid="{00000000-0006-0000-0000-00000100000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ESCOBAR BAQUERO</author>
    <author>HEIDE LIZETH LAMPREA MENDEZ</author>
  </authors>
  <commentList>
    <comment ref="AG87" authorId="0" shapeId="0" xr:uid="{72D5F3ED-2E06-4FD9-A9B3-85A59C2FBDEC}">
      <text>
        <r>
          <rPr>
            <b/>
            <sz val="9"/>
            <color indexed="81"/>
            <rFont val="Tahoma"/>
            <family val="2"/>
          </rPr>
          <t>JUAN CARLOS ESCOBAR BAQUERO:</t>
        </r>
        <r>
          <rPr>
            <sz val="9"/>
            <color indexed="81"/>
            <rFont val="Tahoma"/>
            <family val="2"/>
          </rPr>
          <t xml:space="preserve">
Revisar </t>
        </r>
      </text>
    </comment>
    <comment ref="AK121" authorId="1" shapeId="0" xr:uid="{25633562-97E5-464A-94A5-273438D67286}">
      <text>
        <r>
          <rPr>
            <b/>
            <sz val="9"/>
            <color indexed="81"/>
            <rFont val="Tahoma"/>
            <family val="2"/>
          </rPr>
          <t>HEIDE LIZETH LAMPREA MENDEZ:</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I14" authorId="0" shapeId="0" xr:uid="{00000000-0006-0000-0400-000001000000}">
      <text>
        <r>
          <rPr>
            <b/>
            <sz val="10"/>
            <color indexed="81"/>
            <rFont val="Tahoma"/>
            <family val="2"/>
          </rPr>
          <t>Es la correspondencia entre el resultado del indicador en el periodo y la meta establecida.</t>
        </r>
      </text>
    </comment>
    <comment ref="K14" authorId="0" shapeId="0" xr:uid="{00000000-0006-0000-0400-000002000000}">
      <text>
        <r>
          <rPr>
            <b/>
            <sz val="10"/>
            <color indexed="81"/>
            <rFont val="Tahoma"/>
            <family val="2"/>
          </rPr>
          <t>Muestra el avance acumulado del idicador.</t>
        </r>
      </text>
    </comment>
    <comment ref="P14" authorId="0" shapeId="0" xr:uid="{00000000-0006-0000-0400-000003000000}">
      <text>
        <r>
          <rPr>
            <b/>
            <sz val="10"/>
            <color indexed="81"/>
            <rFont val="Tahoma"/>
            <family val="2"/>
          </rPr>
          <t>Es la correspondencia entre el resultado del indicador en el periodo y la meta establecida.</t>
        </r>
      </text>
    </comment>
    <comment ref="R14" authorId="0" shapeId="0" xr:uid="{00000000-0006-0000-0400-000004000000}">
      <text>
        <r>
          <rPr>
            <b/>
            <sz val="10"/>
            <color indexed="81"/>
            <rFont val="Tahoma"/>
            <family val="2"/>
          </rPr>
          <t>Muestra el avance acumulado del idicado.
La última columna muestra como N.A aquellas actividades que no tenían meta programada ni en este periodo ni en los anteriores.</t>
        </r>
      </text>
    </comment>
    <comment ref="W14" authorId="0" shapeId="0" xr:uid="{00000000-0006-0000-0400-000005000000}">
      <text>
        <r>
          <rPr>
            <b/>
            <sz val="10"/>
            <color indexed="81"/>
            <rFont val="Tahoma"/>
            <family val="2"/>
          </rPr>
          <t>Es la correspondencia entre el resultado del indicador en el periodo y la meta establecida.</t>
        </r>
      </text>
    </comment>
    <comment ref="Y14" authorId="0" shapeId="0" xr:uid="{00000000-0006-0000-0400-000006000000}">
      <text>
        <r>
          <rPr>
            <b/>
            <sz val="10"/>
            <color indexed="81"/>
            <rFont val="Tahoma"/>
            <family val="2"/>
          </rPr>
          <t>Muestra el avance acumulado del idicado</t>
        </r>
      </text>
    </comment>
    <comment ref="AD14" authorId="0" shapeId="0" xr:uid="{00000000-0006-0000-0400-000007000000}">
      <text>
        <r>
          <rPr>
            <b/>
            <sz val="10"/>
            <color indexed="81"/>
            <rFont val="Tahoma"/>
            <family val="2"/>
          </rPr>
          <t>Es la correspondencia entre el resultado del indicador en el periodo y la meta establecida.</t>
        </r>
      </text>
    </comment>
    <comment ref="AF14" authorId="0" shapeId="0" xr:uid="{00000000-0006-0000-0400-000008000000}">
      <text>
        <r>
          <rPr>
            <b/>
            <sz val="10"/>
            <color indexed="81"/>
            <rFont val="Tahoma"/>
            <family val="2"/>
          </rPr>
          <t>Muestra el avance acumulado del idicador</t>
        </r>
      </text>
    </comment>
    <comment ref="AH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J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K14" authorId="0" shapeId="0" xr:uid="{00000000-0006-0000-0400-00000B000000}">
      <text>
        <r>
          <rPr>
            <b/>
            <sz val="10"/>
            <color indexed="81"/>
            <rFont val="Tahoma"/>
            <family val="2"/>
          </rPr>
          <t>Es la correspondencia entre el resultado del indicador en el periodo y la meta establecida.</t>
        </r>
      </text>
    </comment>
    <comment ref="AV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X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AY14" authorId="0" shapeId="0" xr:uid="{00000000-0006-0000-0400-00000E000000}">
      <text>
        <r>
          <rPr>
            <b/>
            <sz val="10"/>
            <color indexed="81"/>
            <rFont val="Tahoma"/>
            <family val="2"/>
          </rPr>
          <t>Es la correspondencia entre el resultado del indicador en el periodo y la meta establecida.</t>
        </r>
      </text>
    </comment>
    <comment ref="BJ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L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M14" authorId="0" shapeId="0" xr:uid="{00000000-0006-0000-0400-000011000000}">
      <text>
        <r>
          <rPr>
            <b/>
            <sz val="10"/>
            <color indexed="81"/>
            <rFont val="Tahoma"/>
            <family val="2"/>
          </rPr>
          <t>Es la correspondencia entre el resultado del indicador en el periodo y la meta establecida.</t>
        </r>
      </text>
    </comment>
    <comment ref="BX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BZ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A14" authorId="0" shapeId="0" xr:uid="{00000000-0006-0000-0400-000014000000}">
      <text>
        <r>
          <rPr>
            <b/>
            <sz val="10"/>
            <color indexed="81"/>
            <rFont val="Tahoma"/>
            <family val="2"/>
          </rPr>
          <t>Es la correspondencia entre el resultado del indicador en el periodo y la meta establecida.</t>
        </r>
      </text>
    </comment>
    <comment ref="CL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L15" authorId="2" shapeId="0" xr:uid="{E66FAEC3-8CA4-4E83-B205-901191B3B7B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M15" authorId="2" shapeId="0" xr:uid="{40A6A240-AC3D-45AD-9F99-E1C8F31EA3C1}">
      <text>
        <r>
          <rPr>
            <sz val="9"/>
            <color indexed="81"/>
            <rFont val="Tahoma"/>
            <family val="2"/>
          </rPr>
          <t>Réplica del anterior. 
En esta columna se encuentran los resultados incluyendo solamente las actividades programadas por las áreas para el periodo objeto de medición.</t>
        </r>
      </text>
    </comment>
    <comment ref="R15" authorId="2" shapeId="0" xr:uid="{5271C4B1-BFFA-48E0-880B-5024E7FDD5C9}">
      <text>
        <r>
          <rPr>
            <sz val="9"/>
            <color indexed="81"/>
            <rFont val="Tahoma"/>
            <family val="2"/>
          </rPr>
          <t>Datos iniciales</t>
        </r>
      </text>
    </comment>
    <comment ref="S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T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Y15" authorId="2" shapeId="0" xr:uid="{AF601166-2247-4444-B99E-8D2AEFC07F57}">
      <text>
        <r>
          <rPr>
            <sz val="9"/>
            <color indexed="81"/>
            <rFont val="Tahoma"/>
            <family val="2"/>
          </rPr>
          <t>Datos iniciales</t>
        </r>
      </text>
    </comment>
    <comment ref="Z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A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F15" authorId="2" shapeId="0" xr:uid="{9DBD2118-584C-4E41-8BF7-CF8C52191CDE}">
      <text>
        <r>
          <rPr>
            <sz val="9"/>
            <color indexed="81"/>
            <rFont val="Tahoma"/>
            <family val="2"/>
          </rPr>
          <t>Datos iniciales</t>
        </r>
      </text>
    </comment>
    <comment ref="AG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H204" authorId="2" shapeId="0" xr:uid="{00000000-0006-0000-0400-00001600000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500-000001000000}">
      <text>
        <r>
          <rPr>
            <b/>
            <sz val="10"/>
            <color indexed="81"/>
            <rFont val="Tahoma"/>
            <family val="2"/>
          </rPr>
          <t>Es la correspondencia entre el resultado del indicador en el periodo y la meta establecida.</t>
        </r>
      </text>
    </comment>
    <comment ref="I5" authorId="0" shapeId="0" xr:uid="{00000000-0006-0000-0500-000002000000}">
      <text>
        <r>
          <rPr>
            <b/>
            <sz val="10"/>
            <color indexed="81"/>
            <rFont val="Tahoma"/>
            <family val="2"/>
          </rPr>
          <t>Corresponde al avance acumulado del indicador</t>
        </r>
      </text>
    </comment>
    <comment ref="P5" authorId="0" shapeId="0" xr:uid="{00000000-0006-0000-0500-000003000000}">
      <text>
        <r>
          <rPr>
            <b/>
            <sz val="10"/>
            <color indexed="81"/>
            <rFont val="Tahoma"/>
            <family val="2"/>
          </rPr>
          <t>Es la correspondencia entre el resultado del indicador en el periodo y la meta establecida.</t>
        </r>
      </text>
    </comment>
    <comment ref="V5" authorId="0" shapeId="0" xr:uid="{00000000-0006-0000-0500-000004000000}">
      <text>
        <r>
          <rPr>
            <b/>
            <sz val="10"/>
            <color indexed="81"/>
            <rFont val="Tahoma"/>
            <family val="2"/>
          </rPr>
          <t>Corresponde al avance acumulado del indicador</t>
        </r>
      </text>
    </comment>
    <comment ref="AC5" authorId="0" shapeId="0" xr:uid="{00000000-0006-0000-0500-000005000000}">
      <text>
        <r>
          <rPr>
            <b/>
            <sz val="10"/>
            <color indexed="81"/>
            <rFont val="Tahoma"/>
            <family val="2"/>
          </rPr>
          <t>Es la correspondencia entre el resultado del indicador en el periodo y la meta establecida.</t>
        </r>
      </text>
    </comment>
    <comment ref="AI5" authorId="0" shapeId="0" xr:uid="{00000000-0006-0000-0500-000006000000}">
      <text>
        <r>
          <rPr>
            <b/>
            <sz val="10"/>
            <color indexed="81"/>
            <rFont val="Tahoma"/>
            <family val="2"/>
          </rPr>
          <t>Corresponde al avance acumulado del indicador</t>
        </r>
      </text>
    </comment>
    <comment ref="AP5" authorId="0" shapeId="0" xr:uid="{00000000-0006-0000-0500-000007000000}">
      <text>
        <r>
          <rPr>
            <b/>
            <sz val="10"/>
            <color indexed="81"/>
            <rFont val="Tahoma"/>
            <family val="2"/>
          </rPr>
          <t>Es la correspondencia entre el resultado del indicador en el periodo y la meta establecida.</t>
        </r>
      </text>
    </comment>
    <comment ref="AV5" authorId="0" shapeId="0" xr:uid="{00000000-0006-0000-0500-000008000000}">
      <text>
        <r>
          <rPr>
            <b/>
            <sz val="10"/>
            <color indexed="81"/>
            <rFont val="Tahoma"/>
            <family val="2"/>
          </rPr>
          <t>Corresponde al avance acumulado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AD179D85-FF4C-4314-B24E-E5836DB9D077}">
      <text>
        <r>
          <rPr>
            <b/>
            <sz val="10"/>
            <color indexed="81"/>
            <rFont val="Tahoma"/>
            <family val="2"/>
          </rPr>
          <t>Es la correspondencia entre el resultado del indicador en el periodo y la meta establecida.</t>
        </r>
      </text>
    </comment>
    <comment ref="I5" authorId="0" shapeId="0" xr:uid="{C785F6A2-68DC-43E6-ADC0-8C0FAC756210}">
      <text>
        <r>
          <rPr>
            <b/>
            <sz val="10"/>
            <color indexed="81"/>
            <rFont val="Tahoma"/>
            <family val="2"/>
          </rPr>
          <t>Corresponde al avance acumulado del indicador</t>
        </r>
      </text>
    </comment>
    <comment ref="R5" authorId="0" shapeId="0" xr:uid="{56EE5E86-B3F2-455C-A55A-B1380287F299}">
      <text>
        <r>
          <rPr>
            <b/>
            <sz val="10"/>
            <color indexed="81"/>
            <rFont val="Tahoma"/>
            <family val="2"/>
          </rPr>
          <t>Es la correspondencia entre el resultado del indicador en el periodo y la meta establecida.</t>
        </r>
      </text>
    </comment>
    <comment ref="X5" authorId="0" shapeId="0" xr:uid="{AB15ADF4-34EC-4346-9B8F-F2492E02AF48}">
      <text>
        <r>
          <rPr>
            <b/>
            <sz val="10"/>
            <color indexed="81"/>
            <rFont val="Tahoma"/>
            <family val="2"/>
          </rPr>
          <t>Corresponde al avance acumulado del indicador</t>
        </r>
      </text>
    </comment>
    <comment ref="AG5" authorId="0" shapeId="0" xr:uid="{09393CED-5A42-4082-9F72-967B8D160E08}">
      <text>
        <r>
          <rPr>
            <b/>
            <sz val="10"/>
            <color indexed="81"/>
            <rFont val="Tahoma"/>
            <family val="2"/>
          </rPr>
          <t>Es la correspondencia entre el resultado del indicador en el periodo y la meta establecida.</t>
        </r>
      </text>
    </comment>
    <comment ref="AM5" authorId="0" shapeId="0" xr:uid="{92DCA538-24A4-4414-95D5-8CAF8E9830A9}">
      <text>
        <r>
          <rPr>
            <b/>
            <sz val="10"/>
            <color indexed="81"/>
            <rFont val="Tahoma"/>
            <family val="2"/>
          </rPr>
          <t>Corresponde al avance acumulado del indicador</t>
        </r>
      </text>
    </comment>
    <comment ref="AV5" authorId="0" shapeId="0" xr:uid="{4C088DC4-B61E-4CAF-BD81-49A8AC947862}">
      <text>
        <r>
          <rPr>
            <b/>
            <sz val="10"/>
            <color indexed="81"/>
            <rFont val="Tahoma"/>
            <family val="2"/>
          </rPr>
          <t>Es la correspondencia entre el resultado del indicador en el periodo y la meta establecida.</t>
        </r>
      </text>
    </comment>
    <comment ref="BB5" authorId="0" shapeId="0" xr:uid="{E7411C4A-7D0C-402E-A30C-04B609C50349}">
      <text>
        <r>
          <rPr>
            <b/>
            <sz val="10"/>
            <color indexed="81"/>
            <rFont val="Tahoma"/>
            <family val="2"/>
          </rPr>
          <t>Corresponde al avance acumulado del indicador</t>
        </r>
      </text>
    </comment>
    <comment ref="I6" authorId="1" shapeId="0" xr:uid="{369891A6-580A-4D1E-B030-AD634CED27C8}">
      <text>
        <r>
          <rPr>
            <sz val="9"/>
            <color indexed="81"/>
            <rFont val="Tahoma"/>
            <family val="2"/>
          </rPr>
          <t>Datos incluyendo todas las actividades programadas por las áreas para el año.</t>
        </r>
      </text>
    </comment>
    <comment ref="J6" authorId="1" shapeId="0" xr:uid="{1F2D5708-B772-4544-8204-27ED32EBA818}">
      <text>
        <r>
          <rPr>
            <sz val="9"/>
            <color indexed="81"/>
            <rFont val="Tahoma"/>
            <family val="2"/>
          </rPr>
          <t>Datos incluyendo solamente las actividades programadas por las áreas para el periodo objeto de medición.</t>
        </r>
      </text>
    </comment>
    <comment ref="X6" authorId="1" shapeId="0" xr:uid="{778625BF-D359-4CD8-B0B0-97B6891ED44B}">
      <text>
        <r>
          <rPr>
            <sz val="9"/>
            <color indexed="81"/>
            <rFont val="Tahoma"/>
            <family val="2"/>
          </rPr>
          <t>Datos incluyendo todas las actividades programadas por las áreas para el año.</t>
        </r>
      </text>
    </comment>
    <comment ref="Y6" authorId="1" shapeId="0" xr:uid="{240284EA-BF35-435D-B23E-B77581A0948E}">
      <text>
        <r>
          <rPr>
            <sz val="9"/>
            <color indexed="81"/>
            <rFont val="Tahoma"/>
            <family val="2"/>
          </rPr>
          <t>Datos incluyendo solamente las actividades programadas por las áreas para el periodo objeto de medición.</t>
        </r>
      </text>
    </comment>
    <comment ref="AM6" authorId="1" shapeId="0" xr:uid="{F406B84C-4E8B-4293-BABA-75A6E0AF8F79}">
      <text>
        <r>
          <rPr>
            <sz val="9"/>
            <color indexed="81"/>
            <rFont val="Tahoma"/>
            <family val="2"/>
          </rPr>
          <t>Datos incluyendo todas las actividades programadas por las áreas para el año.</t>
        </r>
      </text>
    </comment>
    <comment ref="AN6" authorId="1" shapeId="0" xr:uid="{DE5298CE-8C10-469D-ACE9-1AED4735BC78}">
      <text>
        <r>
          <rPr>
            <sz val="9"/>
            <color indexed="81"/>
            <rFont val="Tahoma"/>
            <family val="2"/>
          </rPr>
          <t>Datos incluyendo solamente las actividades programadas por las áreas para el periodo objeto de medición.</t>
        </r>
      </text>
    </comment>
    <comment ref="BB6" authorId="1" shapeId="0" xr:uid="{181F6126-AFC7-4736-AB77-5149ADD6AEA8}">
      <text>
        <r>
          <rPr>
            <sz val="9"/>
            <color indexed="81"/>
            <rFont val="Tahoma"/>
            <family val="2"/>
          </rPr>
          <t>Datos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600-000001000000}">
      <text>
        <r>
          <rPr>
            <b/>
            <sz val="10"/>
            <color indexed="81"/>
            <rFont val="Tahoma"/>
            <family val="2"/>
          </rPr>
          <t>Es la correspondencia entre el resultado del indicador en el periodo y la meta establecida.</t>
        </r>
      </text>
    </comment>
    <comment ref="I5" authorId="0" shapeId="0" xr:uid="{00000000-0006-0000-0600-000002000000}">
      <text>
        <r>
          <rPr>
            <b/>
            <sz val="10"/>
            <color indexed="81"/>
            <rFont val="Tahoma"/>
            <family val="2"/>
          </rPr>
          <t>Correponde al cumplimiento acumuldo del indicador</t>
        </r>
      </text>
    </comment>
    <comment ref="P5" authorId="0" shapeId="0" xr:uid="{00000000-0006-0000-0600-000003000000}">
      <text>
        <r>
          <rPr>
            <b/>
            <sz val="10"/>
            <color indexed="81"/>
            <rFont val="Tahoma"/>
            <family val="2"/>
          </rPr>
          <t>Es la correspondencia entre el resultado del indicador en el periodo y la meta establecida.</t>
        </r>
      </text>
    </comment>
    <comment ref="V5" authorId="0" shapeId="0" xr:uid="{00000000-0006-0000-0600-000004000000}">
      <text>
        <r>
          <rPr>
            <b/>
            <sz val="10"/>
            <color indexed="81"/>
            <rFont val="Tahoma"/>
            <family val="2"/>
          </rPr>
          <t>Correponde al cumplimiento acumuldo del indicador</t>
        </r>
      </text>
    </comment>
    <comment ref="AC5" authorId="0" shapeId="0" xr:uid="{00000000-0006-0000-0600-000005000000}">
      <text>
        <r>
          <rPr>
            <b/>
            <sz val="10"/>
            <color indexed="81"/>
            <rFont val="Tahoma"/>
            <family val="2"/>
          </rPr>
          <t>Es la correspondencia entre el resultado del indicador en el periodo y la meta establecida.</t>
        </r>
      </text>
    </comment>
    <comment ref="AI5" authorId="0" shapeId="0" xr:uid="{00000000-0006-0000-0600-000006000000}">
      <text>
        <r>
          <rPr>
            <b/>
            <sz val="10"/>
            <color indexed="81"/>
            <rFont val="Tahoma"/>
            <family val="2"/>
          </rPr>
          <t>Correponde al cumplimiento acumuldo del indicador</t>
        </r>
      </text>
    </comment>
    <comment ref="AP5" authorId="0" shapeId="0" xr:uid="{00000000-0006-0000-0600-000007000000}">
      <text>
        <r>
          <rPr>
            <b/>
            <sz val="10"/>
            <color indexed="81"/>
            <rFont val="Tahoma"/>
            <family val="2"/>
          </rPr>
          <t>Es la correspondencia entre el resultado del indicador en el periodo y la meta establecida.</t>
        </r>
      </text>
    </comment>
    <comment ref="AV5" authorId="0" shapeId="0" xr:uid="{00000000-0006-0000-0600-000008000000}">
      <text>
        <r>
          <rPr>
            <b/>
            <sz val="10"/>
            <color indexed="81"/>
            <rFont val="Tahoma"/>
            <family val="2"/>
          </rPr>
          <t>Correponde al cumplimiento acumuldo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01C1E105-5266-4273-98E2-B8D109C35421}">
      <text>
        <r>
          <rPr>
            <b/>
            <sz val="10"/>
            <color indexed="81"/>
            <rFont val="Tahoma"/>
            <family val="2"/>
          </rPr>
          <t>Es la correspondencia entre el resultado del indicador en el periodo y la meta establecida.</t>
        </r>
      </text>
    </comment>
    <comment ref="I5" authorId="0" shapeId="0" xr:uid="{1E35FA45-536B-4B1A-9D3D-B0587862CA36}">
      <text>
        <r>
          <rPr>
            <b/>
            <sz val="10"/>
            <color indexed="81"/>
            <rFont val="Tahoma"/>
            <family val="2"/>
          </rPr>
          <t>Correponde al cumplimiento acumuldo del indicador</t>
        </r>
      </text>
    </comment>
    <comment ref="Q5" authorId="0" shapeId="0" xr:uid="{B7A8381A-F700-4ACD-A8C8-B38EB231CEFA}">
      <text>
        <r>
          <rPr>
            <b/>
            <sz val="10"/>
            <color indexed="81"/>
            <rFont val="Tahoma"/>
            <family val="2"/>
          </rPr>
          <t>Es la correspondencia entre el resultado del indicador en el periodo y la meta establecida.</t>
        </r>
      </text>
    </comment>
    <comment ref="W5" authorId="0" shapeId="0" xr:uid="{AE9D234B-B2AE-408A-9ABD-875413938955}">
      <text>
        <r>
          <rPr>
            <b/>
            <sz val="10"/>
            <color indexed="81"/>
            <rFont val="Tahoma"/>
            <family val="2"/>
          </rPr>
          <t>Correponde al cumplimiento acumuldo del indicador</t>
        </r>
      </text>
    </comment>
    <comment ref="AE5" authorId="0" shapeId="0" xr:uid="{0BE8BA78-110E-405E-86CB-8B1FA7B4AB71}">
      <text>
        <r>
          <rPr>
            <b/>
            <sz val="10"/>
            <color indexed="81"/>
            <rFont val="Tahoma"/>
            <family val="2"/>
          </rPr>
          <t>Es la correspondencia entre el resultado del indicador en el periodo y la meta establecida.</t>
        </r>
      </text>
    </comment>
    <comment ref="AK5" authorId="0" shapeId="0" xr:uid="{801CAA0B-87A1-4681-8A32-E33F15002A15}">
      <text>
        <r>
          <rPr>
            <b/>
            <sz val="10"/>
            <color indexed="81"/>
            <rFont val="Tahoma"/>
            <family val="2"/>
          </rPr>
          <t>Correponde al cumplimiento acumuldo del indicador</t>
        </r>
      </text>
    </comment>
    <comment ref="AS5" authorId="0" shapeId="0" xr:uid="{2BB15378-BB28-481F-BAB0-FB1B5AB4355E}">
      <text>
        <r>
          <rPr>
            <b/>
            <sz val="10"/>
            <color indexed="81"/>
            <rFont val="Tahoma"/>
            <family val="2"/>
          </rPr>
          <t>Es la correspondencia entre el resultado del indicador en el periodo y la meta establecida.</t>
        </r>
      </text>
    </comment>
    <comment ref="AY5" authorId="0" shapeId="0" xr:uid="{24B3E19F-F916-4E13-BA06-1CFBCADC9322}">
      <text>
        <r>
          <rPr>
            <b/>
            <sz val="10"/>
            <color indexed="81"/>
            <rFont val="Tahoma"/>
            <family val="2"/>
          </rPr>
          <t>Correponde al cumplimiento acumuldo del indicador</t>
        </r>
      </text>
    </comment>
    <comment ref="W6" authorId="1" shapeId="0" xr:uid="{47AF6129-9EA5-48EF-A9EE-2E558A6ADFDF}">
      <text>
        <r>
          <rPr>
            <sz val="9"/>
            <color indexed="81"/>
            <rFont val="Tahoma"/>
            <family val="2"/>
          </rPr>
          <t>Datos incluyendo todas las actividades programadas por las áreas para el año.</t>
        </r>
      </text>
    </comment>
    <comment ref="X6" authorId="1" shapeId="0" xr:uid="{4FDE50C0-A2CB-441B-BF70-BFD0BE97166D}">
      <text>
        <r>
          <rPr>
            <sz val="9"/>
            <color indexed="81"/>
            <rFont val="Tahoma"/>
            <family val="2"/>
          </rPr>
          <t>Datos incluyendo solamente las actividades programadas por las áreas para el periodo objeto de medición.</t>
        </r>
      </text>
    </comment>
    <comment ref="AK6" authorId="1" shapeId="0" xr:uid="{E8C186E7-30CA-4074-9059-43D243AE9EE8}">
      <text>
        <r>
          <rPr>
            <sz val="9"/>
            <color indexed="81"/>
            <rFont val="Tahoma"/>
            <family val="2"/>
          </rPr>
          <t>Datos incluyendo todas las actividades programadas por las áreas para el año.</t>
        </r>
      </text>
    </comment>
    <comment ref="AL6" authorId="1" shapeId="0" xr:uid="{0BB11D4B-C08C-4411-B7A7-A8CA74170218}">
      <text>
        <r>
          <rPr>
            <sz val="9"/>
            <color indexed="81"/>
            <rFont val="Tahoma"/>
            <family val="2"/>
          </rPr>
          <t>Datos incluyendo solamente las actividades programadas por las áreas para el periodo objeto de medición.</t>
        </r>
      </text>
    </comment>
    <comment ref="AY6" authorId="1" shapeId="0" xr:uid="{00FD1E60-5B7F-4358-9B6F-63DB12C5C6A6}">
      <text>
        <r>
          <rPr>
            <sz val="9"/>
            <color indexed="81"/>
            <rFont val="Tahoma"/>
            <family val="2"/>
          </rPr>
          <t xml:space="preserve">Datos incluyendo todas las actividades programadas por las áreas para el año.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800-000001000000}">
      <text>
        <r>
          <rPr>
            <b/>
            <sz val="10"/>
            <color indexed="81"/>
            <rFont val="Tahoma"/>
            <family val="2"/>
          </rPr>
          <t>Es la correspondencia entre el resultado del indicador en el periodo y la meta establecida.</t>
        </r>
      </text>
    </comment>
    <comment ref="I5" authorId="0" shapeId="0" xr:uid="{00000000-0006-0000-0800-000002000000}">
      <text>
        <r>
          <rPr>
            <b/>
            <sz val="10"/>
            <color indexed="81"/>
            <rFont val="Tahoma"/>
            <family val="2"/>
          </rPr>
          <t>Corresponde al avance acumulado en el periodo</t>
        </r>
      </text>
    </comment>
    <comment ref="P5" authorId="0" shapeId="0" xr:uid="{00000000-0006-0000-0800-000003000000}">
      <text>
        <r>
          <rPr>
            <b/>
            <sz val="10"/>
            <color indexed="81"/>
            <rFont val="Tahoma"/>
            <family val="2"/>
          </rPr>
          <t>Es la correspondencia entre el resultado del indicador en el periodo y la meta establecida.</t>
        </r>
      </text>
    </comment>
    <comment ref="V5" authorId="0" shapeId="0" xr:uid="{00000000-0006-0000-0800-000004000000}">
      <text>
        <r>
          <rPr>
            <b/>
            <sz val="10"/>
            <color indexed="81"/>
            <rFont val="Tahoma"/>
            <family val="2"/>
          </rPr>
          <t>Corresponde al avance acumulado en el periodo</t>
        </r>
      </text>
    </comment>
    <comment ref="AC5" authorId="0" shapeId="0" xr:uid="{00000000-0006-0000-0800-000005000000}">
      <text>
        <r>
          <rPr>
            <b/>
            <sz val="10"/>
            <color indexed="81"/>
            <rFont val="Tahoma"/>
            <family val="2"/>
          </rPr>
          <t>Es la correspondencia entre el resultado del indicador en el periodo y la meta establecida.</t>
        </r>
      </text>
    </comment>
    <comment ref="AI5" authorId="0" shapeId="0" xr:uid="{00000000-0006-0000-0800-000006000000}">
      <text>
        <r>
          <rPr>
            <b/>
            <sz val="10"/>
            <color indexed="81"/>
            <rFont val="Tahoma"/>
            <family val="2"/>
          </rPr>
          <t>Corresponde al avance acumulado en el periodo</t>
        </r>
      </text>
    </comment>
    <comment ref="AP5" authorId="0" shapeId="0" xr:uid="{00000000-0006-0000-0800-000007000000}">
      <text>
        <r>
          <rPr>
            <b/>
            <sz val="10"/>
            <color indexed="81"/>
            <rFont val="Tahoma"/>
            <family val="2"/>
          </rPr>
          <t>Es la correspondencia entre el resultado del indicador en el periodo y la meta establecida.</t>
        </r>
      </text>
    </comment>
    <comment ref="AV5" authorId="0" shapeId="0" xr:uid="{00000000-0006-0000-0800-000008000000}">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24505F55-C00B-4CB7-8351-C85F6B0EA67A}">
      <text>
        <r>
          <rPr>
            <b/>
            <sz val="10"/>
            <color indexed="81"/>
            <rFont val="Tahoma"/>
            <family val="2"/>
          </rPr>
          <t>Es la correspondencia entre el resultado del indicador en el periodo y la meta establecida.</t>
        </r>
      </text>
    </comment>
    <comment ref="I5" authorId="0" shapeId="0" xr:uid="{821B4557-46E2-4C82-B284-D4745CC6DF34}">
      <text>
        <r>
          <rPr>
            <b/>
            <sz val="10"/>
            <color indexed="81"/>
            <rFont val="Tahoma"/>
            <family val="2"/>
          </rPr>
          <t>Corresponde al avance acumulado en el periodo</t>
        </r>
      </text>
    </comment>
    <comment ref="Q5" authorId="0" shapeId="0" xr:uid="{F743B453-7E30-4F43-87E2-530132F3EDF5}">
      <text>
        <r>
          <rPr>
            <b/>
            <sz val="10"/>
            <color indexed="81"/>
            <rFont val="Tahoma"/>
            <family val="2"/>
          </rPr>
          <t>Es la correspondencia entre el resultado del indicador en el periodo y la meta establecida.</t>
        </r>
      </text>
    </comment>
    <comment ref="W5" authorId="0" shapeId="0" xr:uid="{E716DBE4-9D00-4D6B-B50A-47DF464BF8D8}">
      <text>
        <r>
          <rPr>
            <b/>
            <sz val="10"/>
            <color indexed="81"/>
            <rFont val="Tahoma"/>
            <family val="2"/>
          </rPr>
          <t>Corresponde al avance acumulado en el periodo</t>
        </r>
      </text>
    </comment>
    <comment ref="AE5" authorId="0" shapeId="0" xr:uid="{7C6D932B-5F47-42AA-A865-EB7095BE715E}">
      <text>
        <r>
          <rPr>
            <b/>
            <sz val="10"/>
            <color indexed="81"/>
            <rFont val="Tahoma"/>
            <family val="2"/>
          </rPr>
          <t>Es la correspondencia entre el resultado del indicador en el periodo y la meta establecida.</t>
        </r>
      </text>
    </comment>
    <comment ref="AK5" authorId="0" shapeId="0" xr:uid="{3E7BE2FF-C46B-4503-B0C6-1B2501ABBBC5}">
      <text>
        <r>
          <rPr>
            <b/>
            <sz val="10"/>
            <color indexed="81"/>
            <rFont val="Tahoma"/>
            <family val="2"/>
          </rPr>
          <t>Corresponde al avance acumulado en el periodo</t>
        </r>
      </text>
    </comment>
    <comment ref="AS5" authorId="0" shapeId="0" xr:uid="{DE466CC4-E73D-431C-AAD3-C138E2AAB18C}">
      <text>
        <r>
          <rPr>
            <b/>
            <sz val="10"/>
            <color indexed="81"/>
            <rFont val="Tahoma"/>
            <family val="2"/>
          </rPr>
          <t>Es la correspondencia entre el resultado del indicador en el periodo y la meta establecida.</t>
        </r>
      </text>
    </comment>
    <comment ref="AY5" authorId="0" shapeId="0" xr:uid="{A239240D-F798-4001-B0FA-F5807A99BB41}">
      <text>
        <r>
          <rPr>
            <b/>
            <sz val="10"/>
            <color indexed="81"/>
            <rFont val="Tahoma"/>
            <family val="2"/>
          </rPr>
          <t>Corresponde al avance acumulado en el periodo</t>
        </r>
      </text>
    </comment>
    <comment ref="I6" authorId="1" shapeId="0" xr:uid="{3B1737BA-BD41-403C-9FC7-A820700A6B69}">
      <text>
        <r>
          <rPr>
            <sz val="9"/>
            <color indexed="81"/>
            <rFont val="Tahoma"/>
            <family val="2"/>
          </rPr>
          <t>Datos incluyendo todas las actividades programadas por las áreas para el año.</t>
        </r>
      </text>
    </comment>
    <comment ref="J6" authorId="1" shapeId="0" xr:uid="{CA16DD0E-A371-4C61-BAEE-4F12D4B4E8A8}">
      <text>
        <r>
          <rPr>
            <sz val="9"/>
            <color indexed="81"/>
            <rFont val="Tahoma"/>
            <family val="2"/>
          </rPr>
          <t>Datos incluyendo todas las actividades programadas por las áreas para el año.</t>
        </r>
      </text>
    </comment>
    <comment ref="W6" authorId="1" shapeId="0" xr:uid="{DBC0AF03-6A75-4E46-8C93-477D81BB7BF1}">
      <text>
        <r>
          <rPr>
            <sz val="9"/>
            <color indexed="81"/>
            <rFont val="Tahoma"/>
            <family val="2"/>
          </rPr>
          <t>Datos incluyendo todas las actividades programadas por las áreas para el año.</t>
        </r>
      </text>
    </comment>
    <comment ref="X6" authorId="1" shapeId="0" xr:uid="{3DAE0054-741D-4B17-84D4-A458680EE2C2}">
      <text>
        <r>
          <rPr>
            <sz val="9"/>
            <color indexed="81"/>
            <rFont val="Tahoma"/>
            <family val="2"/>
          </rPr>
          <t>Datos incluyendo solamente las actividades programadas por las áreas para el periodo objeto de medición.</t>
        </r>
      </text>
    </comment>
    <comment ref="AK6" authorId="1" shapeId="0" xr:uid="{EB57E47D-DFBD-43DA-BDA4-EC050B7BCA1E}">
      <text>
        <r>
          <rPr>
            <sz val="9"/>
            <color indexed="81"/>
            <rFont val="Tahoma"/>
            <family val="2"/>
          </rPr>
          <t xml:space="preserve">Datos incluyendo todas las actividades programadas por las áreas para el año.
</t>
        </r>
      </text>
    </comment>
    <comment ref="AL6" authorId="1" shapeId="0" xr:uid="{3C882C66-EE01-4AD5-81F3-F18FC200E3C3}">
      <text>
        <r>
          <rPr>
            <sz val="9"/>
            <color indexed="81"/>
            <rFont val="Tahoma"/>
            <family val="2"/>
          </rPr>
          <t>Datos incluyendo solamente las actividades programadas por las áreas para el periodo objeto de medición.</t>
        </r>
      </text>
    </comment>
    <comment ref="AY6" authorId="1" shapeId="0" xr:uid="{2EDF08E8-3801-4DB1-8226-E1F4212574B0}">
      <text>
        <r>
          <rPr>
            <sz val="9"/>
            <color indexed="81"/>
            <rFont val="Tahoma"/>
            <family val="2"/>
          </rPr>
          <t>Datos incluyendo todas las actividades programadas por las áreas para el año.</t>
        </r>
      </text>
    </comment>
  </commentList>
</comments>
</file>

<file path=xl/sharedStrings.xml><?xml version="1.0" encoding="utf-8"?>
<sst xmlns="http://schemas.openxmlformats.org/spreadsheetml/2006/main" count="8765" uniqueCount="1219">
  <si>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</si>
  <si>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</si>
  <si>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</si>
  <si>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</si>
  <si>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</si>
  <si>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</si>
  <si>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</si>
  <si>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</si>
  <si>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</si>
  <si>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</si>
  <si>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</si>
  <si>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</si>
  <si>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</si>
  <si>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</si>
  <si>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</si>
  <si>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</si>
  <si>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</si>
  <si>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</si>
  <si>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</si>
  <si>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</si>
  <si>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</si>
  <si>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</si>
  <si>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</si>
  <si>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</si>
  <si>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</si>
  <si>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</si>
  <si>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</si>
  <si>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</si>
  <si>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</si>
  <si>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</si>
  <si>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</si>
  <si>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</si>
  <si>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</si>
  <si>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</si>
  <si>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</si>
  <si>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</si>
  <si>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</si>
  <si>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</si>
  <si>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</si>
  <si>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</si>
  <si>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</si>
  <si>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</si>
  <si>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</si>
  <si>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</si>
  <si>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</si>
  <si>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</si>
  <si>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</si>
  <si>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</si>
  <si>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</si>
  <si>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</si>
  <si>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</si>
  <si>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</si>
  <si>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</si>
  <si>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</si>
  <si>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</si>
  <si>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</si>
  <si>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</si>
  <si>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</si>
  <si>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</si>
  <si>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</si>
  <si>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</si>
  <si>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</si>
  <si>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</si>
  <si>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</si>
  <si>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</si>
  <si>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</si>
  <si>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</si>
  <si>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</si>
  <si>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</si>
  <si>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</si>
  <si>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</si>
  <si>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</si>
  <si>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</si>
  <si>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</si>
  <si>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</si>
  <si>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</si>
  <si>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</si>
  <si>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</si>
  <si>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</si>
  <si>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</si>
  <si>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</si>
  <si>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</si>
  <si>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</si>
  <si>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</si>
  <si>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</si>
  <si>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</si>
  <si>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</si>
  <si>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</si>
  <si>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</si>
  <si>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</si>
  <si>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</si>
  <si>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</si>
  <si>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</si>
  <si>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</si>
  <si>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</si>
  <si>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</si>
  <si>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</si>
  <si>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</si>
  <si>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</si>
  <si>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</si>
  <si>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</si>
  <si>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</si>
  <si>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</si>
  <si>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</si>
  <si>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</si>
  <si>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</si>
  <si>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</si>
  <si>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</si>
  <si>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</si>
  <si>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</si>
  <si>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</si>
  <si>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</si>
  <si>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</si>
  <si>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</si>
  <si>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</si>
  <si>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</si>
  <si>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</si>
  <si>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</si>
  <si>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</si>
  <si>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</si>
  <si>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</si>
  <si>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</si>
  <si>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</si>
  <si>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</si>
  <si>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</si>
  <si>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</si>
  <si>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</si>
  <si>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</si>
  <si>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</si>
  <si>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</si>
  <si>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</si>
  <si>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</si>
  <si>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</si>
  <si>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</si>
  <si>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</si>
  <si>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</si>
  <si>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</si>
  <si>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</si>
  <si>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</si>
  <si>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</si>
  <si>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</si>
  <si>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</si>
  <si>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</si>
  <si>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</si>
  <si>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</si>
  <si>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</si>
  <si>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</si>
  <si>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</si>
  <si>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</si>
  <si>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</si>
  <si>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</si>
  <si>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</si>
  <si>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</si>
  <si>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</si>
  <si>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</si>
  <si>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</si>
  <si>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</si>
  <si>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</si>
  <si>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</si>
  <si>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</si>
  <si>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</si>
  <si>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</si>
  <si>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</si>
  <si>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</si>
  <si>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</si>
  <si>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</si>
  <si>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</si>
  <si>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</si>
  <si>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</si>
  <si>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</si>
  <si>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</si>
  <si>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</si>
  <si>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</si>
  <si>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</si>
  <si>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</si>
  <si>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</si>
  <si>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</si>
  <si>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</si>
  <si>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</si>
  <si>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</si>
  <si>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</si>
  <si>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</si>
  <si>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</si>
  <si>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</si>
  <si>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</si>
  <si>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</si>
  <si>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</si>
  <si>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</si>
  <si>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</si>
  <si>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</si>
  <si>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</si>
  <si>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</si>
  <si>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</si>
  <si>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</si>
  <si>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</si>
  <si>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</si>
  <si>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</si>
  <si>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</si>
  <si>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</si>
  <si>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</si>
  <si>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</si>
  <si>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</si>
  <si>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</si>
  <si>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</si>
  <si>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</si>
  <si>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</si>
  <si>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</si>
  <si>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</si>
  <si>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</si>
  <si>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</si>
  <si>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</si>
  <si>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</si>
  <si>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</si>
  <si>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</si>
  <si>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</si>
  <si>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</si>
  <si>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</si>
  <si>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</si>
  <si>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</si>
  <si>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</si>
  <si>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</si>
  <si>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</si>
  <si>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</si>
  <si>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</si>
  <si>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</si>
  <si>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</si>
  <si>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</si>
  <si>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</si>
  <si>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</si>
  <si>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</si>
  <si>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</si>
  <si>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</si>
  <si>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</si>
  <si>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</si>
  <si>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</si>
  <si>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</si>
  <si>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</si>
  <si>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</si>
  <si>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</si>
  <si>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</si>
  <si>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</si>
  <si>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</si>
  <si>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</si>
  <si>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</si>
  <si>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</si>
  <si>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</si>
  <si>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</si>
  <si>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</si>
  <si>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</si>
  <si>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</si>
  <si>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</si>
  <si>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</si>
  <si>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</si>
  <si>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</si>
  <si>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</si>
  <si>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</si>
  <si>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</si>
  <si>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</si>
  <si>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</si>
  <si>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</si>
  <si>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</si>
  <si>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</si>
  <si>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</si>
  <si>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</si>
  <si>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</si>
  <si>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</si>
  <si>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</si>
  <si>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</si>
  <si>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</si>
  <si>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</si>
  <si>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</si>
  <si>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</si>
  <si>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</si>
  <si>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</si>
  <si>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</si>
  <si>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</si>
  <si>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</si>
  <si>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</si>
  <si>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</si>
  <si>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</si>
  <si>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</si>
  <si>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</si>
  <si>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</si>
  <si>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</si>
  <si>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</si>
  <si>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</si>
  <si>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</si>
  <si>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</si>
  <si>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</si>
  <si>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</si>
  <si>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</si>
  <si>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</si>
  <si>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</si>
  <si>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</si>
  <si>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</si>
  <si>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</si>
  <si>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</si>
  <si>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</si>
  <si>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</si>
  <si>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</si>
  <si>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</si>
  <si>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</si>
  <si>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</si>
  <si>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</si>
  <si>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</si>
  <si>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</si>
  <si>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</si>
  <si>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</si>
  <si>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</si>
  <si>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</si>
  <si>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</si>
  <si>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</si>
  <si>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</si>
  <si>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</si>
  <si>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</si>
  <si>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</si>
  <si>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</si>
  <si>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</si>
  <si>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</si>
  <si>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</si>
  <si>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</si>
  <si>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</si>
  <si>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</si>
  <si>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</si>
  <si>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</si>
  <si>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</si>
  <si>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</si>
  <si>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</si>
  <si>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</si>
  <si>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</si>
  <si>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</si>
  <si>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</si>
  <si>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</si>
  <si>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</si>
  <si>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</si>
  <si>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</si>
  <si>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</si>
  <si>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</si>
  <si>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</si>
  <si>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</si>
  <si>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</si>
  <si>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</si>
  <si>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</si>
  <si>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</si>
  <si>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</si>
  <si>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</si>
  <si>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</si>
  <si>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</si>
  <si>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</si>
  <si>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</si>
  <si>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</si>
  <si>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</si>
  <si>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</si>
  <si>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</si>
  <si>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</si>
  <si>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</si>
  <si>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</si>
  <si>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</si>
  <si>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</si>
  <si>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</si>
  <si>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</si>
  <si>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</si>
  <si>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</si>
  <si>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</si>
  <si>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</si>
  <si>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</si>
  <si>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</si>
  <si>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</si>
  <si>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</si>
  <si>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</si>
  <si>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</si>
  <si>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</si>
  <si>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</si>
  <si>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</si>
  <si>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</si>
  <si>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</si>
  <si>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</si>
  <si>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</si>
  <si>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</si>
  <si>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</si>
  <si>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</si>
  <si>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</si>
  <si>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</si>
  <si>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</si>
  <si>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</si>
  <si>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</si>
  <si>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</si>
  <si>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</si>
  <si>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</si>
  <si>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</si>
  <si>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</si>
  <si>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</si>
  <si>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</si>
  <si>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</si>
  <si>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</si>
  <si>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</si>
  <si>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</si>
  <si>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</si>
  <si>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</si>
  <si>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</si>
  <si>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</si>
  <si>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</si>
  <si>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</si>
  <si>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</si>
  <si>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</si>
  <si>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</si>
  <si>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</si>
  <si>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</si>
  <si>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</si>
  <si>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</si>
  <si>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</si>
  <si>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</si>
  <si>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</si>
  <si>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</si>
  <si>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</si>
  <si>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</si>
  <si>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</si>
  <si>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</si>
  <si>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</si>
  <si>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</si>
  <si>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</si>
  <si>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</si>
  <si>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</si>
  <si>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</si>
  <si>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</si>
  <si>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</si>
  <si>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</si>
  <si>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</si>
  <si>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</si>
  <si>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</si>
  <si>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</si>
  <si>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</si>
  <si>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</si>
  <si>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</si>
  <si>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</si>
  <si>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</si>
  <si>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</si>
  <si>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</si>
  <si>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</si>
  <si>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</si>
  <si>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</si>
  <si>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</si>
  <si>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</si>
  <si>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</si>
  <si>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</si>
  <si>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</si>
  <si>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</si>
  <si>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</si>
  <si>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</si>
  <si>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</si>
  <si>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</si>
  <si>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</si>
  <si>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</si>
  <si>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</si>
  <si>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</si>
  <si>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</si>
  <si>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</si>
  <si>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</si>
  <si>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</si>
  <si>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</si>
  <si>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</si>
  <si>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</si>
  <si>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</si>
  <si>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</si>
  <si>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</si>
  <si>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</si>
  <si>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</si>
  <si>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</si>
  <si>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</si>
  <si>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</si>
  <si>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</si>
  <si>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</si>
  <si>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</si>
  <si>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</si>
  <si>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</si>
  <si>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</si>
  <si>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</si>
  <si>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</si>
  <si>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</si>
  <si>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</si>
  <si>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</si>
  <si>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</si>
  <si>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</si>
  <si>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</si>
  <si>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</si>
  <si>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</si>
  <si>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</si>
  <si>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</si>
  <si>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</si>
  <si>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</si>
  <si>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</si>
  <si>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</si>
  <si>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</si>
  <si>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</si>
  <si>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</si>
  <si>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</si>
  <si>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</si>
  <si>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</si>
  <si>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</si>
  <si>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</si>
  <si>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</si>
  <si>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</si>
  <si>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</si>
  <si>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</si>
  <si>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</si>
  <si>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</si>
  <si>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</si>
  <si>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</si>
  <si>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</si>
  <si>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</si>
  <si>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</si>
  <si>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</si>
  <si>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</si>
  <si>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</si>
  <si>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</si>
  <si>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</si>
  <si>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</si>
  <si>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</si>
  <si>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</si>
  <si>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</si>
  <si>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</si>
  <si>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</si>
  <si>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</si>
  <si>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</si>
  <si>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</si>
  <si>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</si>
  <si>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</si>
  <si>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</si>
  <si>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</si>
  <si>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</si>
  <si>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</si>
  <si>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</si>
  <si>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</si>
  <si>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</si>
  <si>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</si>
  <si>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</si>
  <si>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</si>
  <si>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</si>
  <si>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</si>
  <si>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</si>
  <si>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</si>
  <si>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</si>
  <si>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</si>
  <si>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</si>
  <si>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</si>
  <si>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</si>
  <si>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</si>
  <si>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</si>
  <si>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</si>
  <si>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</si>
  <si>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</si>
  <si>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</si>
  <si>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</si>
  <si>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</si>
  <si>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</si>
  <si>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</si>
  <si>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</si>
  <si>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</si>
  <si>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</si>
  <si>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</si>
  <si>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</si>
  <si>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</si>
  <si>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</si>
  <si>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</si>
  <si>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</si>
  <si>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</si>
  <si>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</si>
  <si>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</si>
  <si>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</si>
  <si>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</si>
  <si>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</si>
  <si>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</si>
  <si>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</si>
  <si>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</si>
  <si>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</si>
  <si>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</si>
  <si>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</si>
  <si>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</si>
  <si>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</si>
  <si>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</si>
  <si>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</si>
  <si>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</si>
  <si>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</si>
  <si>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</si>
  <si>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</si>
  <si>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</si>
  <si>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</si>
  <si>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</si>
  <si>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</si>
  <si>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</si>
  <si>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</si>
  <si>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</si>
  <si>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</si>
  <si>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</si>
  <si>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</si>
  <si>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</si>
  <si>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</si>
  <si>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</si>
  <si>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</si>
  <si>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</si>
  <si>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</si>
  <si>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</si>
  <si>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</si>
  <si>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</si>
  <si>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</si>
  <si>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</si>
  <si>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</si>
  <si>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</si>
  <si>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</si>
  <si>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</si>
  <si>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</si>
  <si>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</si>
  <si>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</si>
  <si>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</si>
  <si>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</si>
  <si>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</si>
  <si>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</si>
  <si>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</si>
  <si>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</si>
  <si>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</si>
  <si>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</si>
  <si>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</si>
  <si>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</si>
  <si>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</si>
  <si>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</si>
  <si>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</si>
  <si>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</si>
  <si>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</si>
  <si>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</si>
  <si>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</si>
  <si>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</si>
  <si>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</si>
  <si>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</si>
  <si>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</si>
  <si>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</si>
  <si>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</si>
  <si>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</si>
  <si>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</si>
  <si>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</si>
  <si>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</si>
  <si>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</si>
  <si>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</si>
  <si>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</si>
  <si>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</si>
  <si>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</si>
  <si>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</si>
  <si>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</si>
  <si>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</si>
  <si>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</si>
  <si>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</si>
  <si>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</si>
  <si>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</si>
  <si>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</si>
  <si>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</si>
  <si>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</si>
  <si>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</si>
  <si>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</si>
  <si>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</si>
  <si>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</si>
  <si>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</si>
  <si>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</si>
  <si>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</si>
  <si>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</si>
  <si>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</si>
  <si>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</si>
  <si>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</si>
  <si>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</si>
  <si>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</si>
  <si>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</si>
  <si>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</si>
  <si>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</si>
  <si>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</si>
  <si>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</si>
  <si>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</si>
  <si>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</si>
  <si>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</si>
  <si>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</si>
  <si>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</si>
  <si>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</si>
  <si>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</si>
  <si>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</si>
  <si>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</si>
  <si>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</si>
  <si>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</si>
  <si>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</si>
  <si>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</si>
  <si>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</si>
  <si>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</si>
  <si>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</si>
  <si>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</si>
  <si>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</si>
  <si>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</si>
  <si>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</si>
  <si>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</si>
  <si>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</si>
  <si>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</si>
  <si>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</si>
  <si>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</si>
  <si>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</si>
  <si>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</si>
  <si>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</si>
  <si>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</si>
  <si>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</si>
  <si>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</si>
  <si>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</si>
  <si>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</si>
  <si>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</si>
  <si>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</si>
  <si>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</si>
  <si>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</si>
  <si>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</si>
  <si>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</si>
  <si>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</si>
  <si>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</si>
  <si>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</si>
  <si>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</si>
  <si>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</si>
  <si>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</si>
  <si>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</si>
  <si>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</si>
  <si>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</si>
  <si>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</si>
  <si>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</si>
  <si>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</si>
  <si>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</si>
  <si>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</si>
  <si>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</si>
  <si>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</si>
  <si>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</si>
  <si>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</si>
  <si>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</si>
  <si>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</si>
  <si>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</si>
  <si>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</si>
  <si>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</si>
  <si>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</si>
  <si>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</si>
  <si>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</si>
  <si>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</si>
  <si>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</si>
  <si>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</si>
  <si>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</si>
  <si>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</si>
  <si>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</si>
  <si>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</si>
  <si>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</si>
  <si>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</si>
  <si>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</si>
  <si>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</si>
  <si>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</si>
  <si>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</si>
  <si>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</si>
  <si>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</si>
  <si>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</si>
  <si>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</si>
  <si>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</si>
  <si>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</si>
  <si>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</si>
  <si>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</si>
  <si>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</si>
  <si>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</si>
  <si>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</si>
  <si>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</si>
  <si>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</si>
  <si>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</si>
  <si>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</si>
  <si>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</si>
  <si>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</si>
  <si>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</si>
  <si>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</si>
  <si>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</si>
  <si>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</si>
  <si>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</si>
  <si>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</si>
  <si>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</si>
  <si>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</si>
  <si>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</si>
  <si>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</si>
  <si>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</si>
  <si>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</si>
  <si>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</si>
  <si>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</si>
  <si>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</si>
  <si>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</si>
  <si>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</si>
  <si>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</si>
  <si>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</si>
  <si>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</si>
  <si>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</si>
  <si>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</si>
  <si>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</si>
  <si>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</si>
  <si>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</si>
  <si>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</si>
  <si>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</si>
  <si>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</si>
  <si>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</si>
  <si>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</si>
  <si>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</si>
  <si>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</si>
  <si>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</si>
  <si>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</si>
  <si>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</si>
  <si>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</si>
  <si>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</si>
  <si>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</si>
  <si>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</si>
  <si>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</si>
  <si>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</si>
  <si>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</si>
  <si>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</si>
  <si>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</si>
  <si>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</si>
  <si>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</si>
  <si>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</si>
  <si>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Ejecución presupuestal</t>
  </si>
  <si>
    <t>CUMPLIMIENTO OBJETIVO EN LA PERSPECTIVA DE ENFOQUE AL CLIENTE Y OTRAS PARTES INTERESADAS 
(Promedio porcentual)</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</si>
  <si>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</si>
  <si>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</si>
  <si>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</si>
  <si>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</si>
  <si>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</si>
  <si>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</si>
  <si>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</si>
  <si>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</si>
  <si>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</si>
  <si>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</si>
  <si>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</si>
  <si>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</si>
  <si>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</si>
  <si>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</si>
  <si>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</si>
  <si>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</si>
  <si>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</si>
  <si>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</si>
  <si>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</si>
  <si>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</si>
  <si>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</si>
  <si>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</si>
  <si>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</si>
  <si>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</si>
  <si>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</si>
  <si>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</si>
  <si>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</si>
  <si>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</si>
  <si>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</si>
  <si>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</si>
  <si>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</si>
  <si>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</si>
  <si>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</si>
  <si>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</si>
  <si>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</si>
  <si>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</si>
  <si>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</si>
  <si>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</si>
  <si>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</si>
  <si>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</si>
  <si>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</si>
  <si>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</si>
  <si>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</si>
  <si>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</si>
  <si>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</si>
  <si>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</si>
  <si>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</si>
  <si>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</si>
  <si>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</si>
  <si>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</si>
  <si>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</si>
  <si>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</si>
  <si>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DEPENDENCIAS</t>
  </si>
  <si>
    <t>Detalles</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</si>
  <si>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</si>
  <si>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</si>
  <si>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</si>
  <si>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</si>
  <si>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</si>
  <si>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</si>
  <si>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</si>
  <si>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</si>
  <si>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 llamadas atendidas / # llamadas entrantes</t>
  </si>
  <si>
    <t>AVANCE ACUMULADO</t>
  </si>
  <si>
    <t>Se da cumplimiento al reporte correspondiente al primer trimestre de 2018, el jueves 5 de abril de 2018.</t>
  </si>
  <si>
    <t>Se reportaron oportunamente en este documento los avances de la ejecución del Plan de Acción de esta dependencia.</t>
  </si>
  <si>
    <t># Certificaciones realizadas  / # certificaciones solicitadas</t>
  </si>
  <si>
    <t>Mensualmente se realizaron los respectivos Informes y se enviaron las ejecuciones presupuestales al MHCP, se ajusto el valor del monto total del  contrato por diferencia con en el plan de adquisiciones</t>
  </si>
  <si>
    <t>No se puede medir este indicador, ya que la entidad careció para el primer trimestre de 2018 de la herramienta tecnológica para realizar la medición. La medición comienza a partir del segundo trimestre de 2018.
No pudimos ejecutar el presupuesto asignado, por la entrada en vigencia de la Ley de Garantías y además, porque la asesora de comunicaciones se vinculó recientemente.</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</si>
  <si>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</si>
  <si>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</si>
  <si>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</si>
  <si>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</si>
  <si>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</si>
  <si>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Se público y pago un edicto de  febrero de 2018,  queda en tramite el pago de la publicación de un edicto recibido en marzo. Este servicio es a demanda y depende de los actos administrativos recibidos. </t>
  </si>
  <si>
    <t>Valor pagado por viáticos del periodo mas el valor pagado de tiquetes/ Valor  determinado por cada resolución de desplazamineto y pago de tiquete del periodo. </t>
  </si>
  <si>
    <t>En el mes de enero del año en curso, se adelantó el proceso de identificación y alistamiento de las resoluciones ejecutoriadas, con más de 180 días de vencidas, qué conforme a las normas que regulan el tema son susceptibles de venta a la CENTRAL DE INVERSIONES S.A. – CISA S.A.
Mediante comunicación con Radicado No. S000000740000 del 16 de marzo del año en curso, se solicitó al doctor HERNÁN PARDO BOTERO, en su calidad de Representante Legal de CENTRAL DE INVERSIONES S.A. - CISA S.A., de conformidad con lo dispuesto en el numeral 1. de la Cláusula Cuarta del Contrato No.081 de 2017 CM-017-2017, adelante el proceso de valoración de por la venta de 1.286 reclamaciones, que corresponden a 541 terceros, por un valor $2.993.131.816.00.
Es de anotar que a la fecha no se ha recibido respuesta sobre el particular por parte de CISA S.A., una vez llegue, se adelantará el proceso de alistamiento y entrega de los expedientes contentivos de las resoluciones debidamente ejecutoriadas y con los soportes que corresponden.</t>
  </si>
  <si>
    <t xml:space="preserve">Sobre el tema, es del caso informar que adelantado el proceso de depuración se encontraron 9.885 fallecidos, de ahí que, con el propósito de adelantar las actuaciones que corresponden, mediante comunicación Radicación No.000000448200 del 23 de enero de 2018, se solicitó al Coordinador GIT Comercialización del Instituto Agustín Codazzi, informe si las personas fallecidas cuya relación se remitió en medio magnético CD, poseen bienes._x000D_
_x000D_
El doctor Orlando Bustamante Méndez, Coordinador GIT comercialización del Instituto Agustín Codazzi, a través de la comunicación Radicación E0000004472500 del 15 de febrero del año en curso, remitió de manera impresa la información, sobre la cual se le solicito lo hiciera en medio magnético, lo cual permite adelantar de manera ágil y eficiente, el cruce de información.  _x000D_
_x000D_
Teniendo en cuenta el número de fallecidos y dado que la información remitida de manera impresa es ilegible, en reiteradas oportunidades se ha solicitado al citado funcionario la remisión de la información en medio magnético, que permita los cruces de información. Mediante correo electrónico se solicitó a la doctora Ingrid Soraya Tenjo, Subdirectora de Catastro del Instituto Agustín Codazzi, su intervención para que la información requerida sea remitida en medio magnético._x000D_
</t>
  </si>
  <si>
    <t>Se incluye informe de ejecución del contrato de prestación de servicios 2017, dado que se canceló en el mes de enero. En este avance de ejecución no se incluye el valor a pagar del mes de marzo.</t>
  </si>
  <si>
    <t>Esta en proceso de contratación para solicitar las cotizaciones a los diferentes proveedores. </t>
  </si>
  <si>
    <t>Aunque se esta realizando el  objetivo no se está contratando por que  hay una persona  de planta que  esta  realizado la  acción  planteada.</t>
  </si>
  <si>
    <t>Aunque se esta realizando   el  objetivo no se está contratando por que  hay una persona  de planta que  esta  realizado la  acción  planteada.</t>
  </si>
  <si>
    <t>Dentro del primer trimestre se está llevando a cabo la definición de procesos y procedimientos de la dirección, por tal motivo no se cuenta aún con indicadores. Por su parte durante este trimestre no se presentaron acciones de mejora reportadas por parte de Control Interno.</t>
  </si>
  <si>
    <t>Durante el I Trimestre se envío la totalidad de certificaciones de descuento para que fueran aplicadas en el proceso LMA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</si>
  <si>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</si>
  <si>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LMA - La relación de las certificaciones puede verse en el archivo Reportes Plan de acción primer trimestre 2018 (pestaña COMPRA DE CARTERA),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</si>
  <si>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COMPRA DE CARTERA), en la carpeta evidencias I Trimestre</t>
  </si>
  <si>
    <t>Durante el I Trimestre se elaboró el informe de caracterización de MIPRES, correspondiente a la vigencia 2017, y el documento de análisis de elosulfasa alfa para el periodo 2016-17. El presupuesto indicado no es para la realización de un estudio, sino para la compra de un programa estadístico. Las capacitaciones de utilización del programa no habían finalizado con corte a primer trimestre. En consecuencia, los recursos todavía no han sido girados.</t>
  </si>
  <si>
    <t>Se anexan a la carpeta compartida por la Oficina Asesora de Planeación y Control de Riesgos, las cuentas de cobros radicados del trimestre, las cuales evidencian la ejecución de los recursos asignados y programados entre Enero a Marzo de 2018.
Se anexan a la carpeta compartida por la Oficina Asesora de Planeación y Control de Riesgos, la relación de registros de recaudos identificados Vs. Total de Registros recaudos en el I Trimestre.</t>
  </si>
  <si>
    <t>Se anexan a la carpeta compartida por la Oficina Asesora de Planeación y Control de Riesgos, los Informe de Control de Recaudo y Fuentes de Financiamiento, correspondientes a los periodos comprendidos de: 1) Agosto – Diciembre 2017; 2) Enero 2018; y 3) Febrero 2019.</t>
  </si>
  <si>
    <t>Se anexan a la carpeta compartida por la Oficina Asesora de Planeación y Control de Riesgos, la relación de PPI identificadas en el I Trimestre, al 30 de marzo de 2018.</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</si>
  <si>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t>
  </si>
  <si>
    <t>Se efectúo el giro directo a IPS y/o proveedores mensualmente dentro de los tiempos establecidos en la normatividad vigente y los recursos disponibles para la aplicación del giro, la información resultado del proceso se encuentra publicada en el link:
http://www.adres.gov.co/Giros/Régimen-subsidiado/Liquidación-Mensual-de-Afiliados-LMA/Giros-LMA</t>
  </si>
  <si>
    <t>En el primer trimestre no se registran informes de auditoría, teniendo en cuenta que los procedimientos de reintegro se iniciaron por la ADRES en febrero y marzo del presente año, por lo tanto, los informes se  verán reflejados en el segundo y tercer trimestre.</t>
  </si>
  <si>
    <t># Procesos de Compensación Ejecutados</t>
  </si>
  <si>
    <t xml:space="preserve"># Procesos de LMA Ejecutados </t>
  </si>
  <si>
    <t># Giros Directos Ejecutados y Publicados</t>
  </si>
  <si>
    <t>LA JEFE DE LA OFICINA ASESORA JURÍDICA INSTÓ A LOS FUNCIONARIOS EN CUMPLIR EL TÉRMINO DE ELABORACIÓN DE FICHAS TÉCNICAS A SER SOMETIDAS A CONSIDERACIÓN DEL COMITÉ DE CONCILIACIÓN CONFORME LA RESOLUCION 280 DE 2017 Y ACUERDO 497 DE 2017</t>
  </si>
  <si>
    <t>EN ESTE TRIMESTRE NO HUBO EROGACIÓN PRESUPUESTAL EN RAZÓN A QUE FUE DESARROLLADA LA ACTIVIDAD POR PERSONAL DE PLANTA</t>
  </si>
  <si>
    <t>JUAN PABLO GALVIS APOYA LA CONSECUCIÓN DEL INDICADOR DE GESTIÓN (PERSONAL DE PLANTA)</t>
  </si>
  <si>
    <t>A LA FECHA EL CONTRATISTA NO HA SUSTENTA RECURSO EXTRAORDINARIO DE CASACIÓN COMO TAMPOCO SE LE HAN ASIGNADO PROCESOS JUDICIALES PARA ALGUNA GESTIÓN</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</si>
  <si>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</si>
  <si>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</si>
  <si>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</si>
  <si>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</si>
  <si>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</si>
  <si>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</si>
  <si>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</si>
  <si>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</si>
  <si>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</si>
  <si>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</si>
  <si>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</si>
  <si>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</si>
  <si>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</si>
  <si>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</si>
  <si>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</si>
  <si>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</si>
  <si>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</si>
  <si>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</si>
  <si>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</si>
  <si>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</si>
  <si>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</si>
  <si>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</si>
  <si>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</si>
  <si>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</si>
  <si>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</si>
  <si>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</si>
  <si>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</si>
  <si>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</si>
  <si>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</si>
  <si>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xml:space="preserve">Se suscribieron tres (3) de cuatro (4) contratos proyectados para todo el año. Por otra parte se reportan los 69 procesos de contratación adelantados en el primer trimestre los cuales fueron solicitados por las diferentes dependencias de la Entidad (incluidos los 3 propios del Grupo). 
Financieramente solo se reportan los contratos propios del grupo.
</t>
  </si>
  <si>
    <t># comités de conciliación llevados a cabo / # comités de conciliación requeridos en el trimestre</t>
  </si>
  <si>
    <t>Ejecución / presupuesto proyectado según rubro</t>
  </si>
  <si>
    <t>Realizar el Comité de Conciliación</t>
  </si>
  <si>
    <t>Comité de conciliación realizado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</si>
  <si>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</si>
  <si>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</si>
  <si>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</si>
  <si>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</si>
  <si>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</si>
  <si>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</si>
  <si>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</si>
  <si>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</si>
  <si>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</si>
  <si>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</si>
  <si>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</si>
  <si>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</si>
  <si>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</si>
  <si>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</si>
  <si>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</si>
  <si>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</si>
  <si>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</si>
  <si>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</si>
  <si>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</si>
  <si>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</si>
  <si>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</si>
  <si>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</si>
  <si>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</si>
  <si>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</si>
  <si>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</si>
  <si>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AVANCES AL 31 DE JULIO DE 2018</t>
  </si>
  <si>
    <t>Efectuar el pago de las sentencias y conciliaciones de la ADRES de acuerdo con las solicitudes de la Oficina Asesora Jurídica</t>
  </si>
  <si>
    <t>Jefe Oficina Asesora de Planeación y Control de Riesgos
Director General</t>
  </si>
  <si>
    <t>Responsables de líneas de acción de las diferentes dependencias</t>
  </si>
  <si>
    <r>
      <t xml:space="preserve">Se da cumplimiento al avance del 25% correspondiente a la emisión de 3 Boletines de autocontrol. En la ruta One Drive </t>
    </r>
    <r>
      <rPr>
        <b/>
        <sz val="10"/>
        <rFont val="Verdana"/>
        <family val="2"/>
      </rPr>
      <t>EVIDENCIAS/Trimestre I/11800-3-5-1</t>
    </r>
    <r>
      <rPr>
        <sz val="10"/>
        <rFont val="Verdana"/>
        <family val="2"/>
      </rPr>
      <t xml:space="preserve"> se encuentran los 3 boletines emitidos por la OCI correspondientes a los meses de enero, febrero y marzo de 2018. </t>
    </r>
  </si>
  <si>
    <t>La apropiaciones se ajustan ya que el plan de acción fue realizado con la Resolución 640 de 2017, la cual estaba para aprobación de la Junta Directiva y una vez aprobada por la Junta Directiva y se expidió la Resolución 083 de 2018.</t>
  </si>
  <si>
    <t>Los estados financieros y el informe de operación reciproca están a corte de 31 de diciembre del 2017</t>
  </si>
  <si>
    <t>El reporte corresponde al presente archivo (Plan Acción ADRES Vigencia 2018 One drive)</t>
  </si>
  <si>
    <t>La planilla de la Nómina correspondiente al mes de Marzo de 2018 se pagó en el mes de Abril por $434.278.800 y  la diferencia corresponde a  que la planta de personal no se ha provisto en su totalidad.
Se recomienda actualizar los valores asociados a este indicador, ya que según resolución 860 de 2018, se adicionó un monto de $23.345.341.854 y lo pertinente a  servicios personales asociado a la nómina por $2.002.739</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</si>
  <si>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t>
  </si>
  <si>
    <t>El 28 de Febrero de 2018, se presentó ante la CGN el informe Correspondiente al 4ª trimestre de 2017.</t>
  </si>
  <si>
    <t>De las 293  cuentas de cobro y pago de proveedores y funcionarios se cancelaron 291, las 2 cuentas de cobro no canceladas, fue por rechazó en el portal bancario de Davivienda por error en No de Cuenta Bancaria asignada a los terceros.</t>
  </si>
  <si>
    <t>En el número de contratos terminados se incluye uno suscrito en la vigencia 2018 que terminó anticipadamente, la certificación aportada como evidencia se refiere solo a lo suscrito y terminado de la Vigencia 2017. En cuanto al número de Constancias de archivo y/o liquidaciones no se cuentan 2 de ellas por ser suscritas en el mes de abril estas serán reportadas para el Segundo Trimestre.</t>
  </si>
  <si>
    <t xml:space="preserve">Se realizaron  cuatro capacitaciones durante el primer trimestre  del 2018,  los cuales,  fueron desarrolladas para los  funcionarios de la Entidad sin ningún gasto. 
Capacitación  de evolución del desempeño dictada por  CNSC.
Capacitación gestión  preventiva disciplinaria dictada por control interno disciplinario.
Capacitación del servicio al cliente dictada por el SENA.
Capacitación   de redacción y ortografía dictada por el SENA.
</t>
  </si>
  <si>
    <t>Se realizaron  nueve actividades  de bienestar  durante el primer trimestre  del 2018,  los cuales,  fueron desarrolladas para los  funcionarios de la Entidad sin ningún gasto. Rumba terapia, Feria de servicios Compensar, Manejo de enfermedades, Árbol de los sueños, Feria de productos Alpina, Risoterapia, Vive el estrés desde un enfoque positivo, Charla experimenta la felicidad, Todo es cuestión de vida saludable, Dia del Hombre, Dia de la Mujer.</t>
  </si>
  <si>
    <t>Esta en proceso de contratación para solicitar las cotizaciones a los diferentes proveedores. El valor reportado corresponde a la cuenta pagada en enero de 2018 con cargo al presupuesto de esa vigencia, del Contrato 005 de 2017 prestación de servicios para la realización de las evaluaciones medicas ocupacionales de preingreso egreso pos incapacidad o reintegro.</t>
  </si>
  <si>
    <t>Aunque se esta realizando   el  objetivo no se está contratando por que  hay una persona  de planta que  esta  realizado la  acción  planteada.  En el periodo  se realizaron  actividades  como: levantamiento de la base  de datos  con los requisitos  existentes para la  vigilancia y administración  de  la custodia de las hojas de vida  de los  funcionarios públicos,  la cual  se  ha  evidenciado  con el  avance de del  archivo físico existente a la fecha.</t>
  </si>
  <si>
    <t>Corresponde a la suma de las resoluciones de viáticos ( Grupo de Gestión del Talento Humano ) mas el contrato de satena de compra de tiquetes; esta ejecución es a demanda para medir la gestión se sugiere este nuevo indicador  Valor pagado por viáticos del período mas el, valor pagado de tiquetes/ Valor  determinado por cada resolución de desplazamiento y pago de tiquete del periodo. </t>
  </si>
  <si>
    <t>De las 107 consultas solicitadas se solicitaron al custodio de archivo las 107, de las cuales se encontraban a 30 de marzo de 2018, once (11) consultas pendientes por entregar. </t>
  </si>
  <si>
    <t>Actos administrativos mediante los cuales se establecen los fallecidos, incobrables, cancelados y revocados, resultado del proceso de depuración</t>
  </si>
  <si>
    <t xml:space="preserve">Se solicita retirar del plan de acción dado que todos los gastos de nómina, incluidas las prestaciones sociales, se reportan en la línea de acción No. 11700-2-3-1 </t>
  </si>
  <si>
    <t xml:space="preserve">De conformidad con lo establecido en el Plan de Acción 2018, el Grupo de Cobro Coactivo, expidió 490 resoluciones ordenando el cobro de reclamaciones reconocidas y pagadas por el entonces FOSYGA hoy la ADRES, en relación con accidentes de tránsito cuyo vehículo involucrado, carecía del seguro obligatorio SOAT. _x000D_
_x000D_
Es de anotar que teniendo en cuenta la gestión que debe adelantar el Grupo de Cobro Coactivo en el marco de sus funciones y el número de abogados asignados al mismo, en el Plan de Acción 2018, se estableció la expedición de 4.000 resoluciones para la vigencia 2018, así: i) Para el Primer Trimestre 2018, 400 resoluciones, que corresponde al 10%; ii) Para el segundo trimestre 1.200 resoluciones, que corresponde al 30%; iii) Para el tercer 1.200 resoluciones, que corresponde al 30% y, iv) para el cuarto trimestre 1.200 resoluciones, que corresponde al 30%,  para lograr al finalizar 2018 el 100%, esto es, la meta establecida de 4.000 resoluciones._x000D_
_x000D_
</t>
  </si>
  <si>
    <t>En acatamiento de lo previsto en el artículo 238 de la Ley 1753 de 2015, la Dirección de fondos de la Protección Social del Ministerio de Salud y Protección Social y la empresa CISA S.A., suscribieron el Contrato Interadministrativo No. 081 de 2017 CM-017-2017, cuyo objeto es la venta de cartera que corresponde a obligaciones con mas de 180 días de vencidas en desarrollo del cual se viene adelantando la venta de cartera, para que CISA S.A. adelante el proceso de cobro por jurisdicción coactiva, sin perjuicio de que ADRES lo adelante de acuerdo con las estrategias establecidas, esto es, teniendo en cuenta las resoluciones de mayor cuantía.</t>
  </si>
  <si>
    <t>Otros gastos asociados a la representación judicial</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</si>
  <si>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Ajuste en la redacción del producto de la actividad 11500-3-3-1
Ajuste en los valores asignados a las actividades 11500-3-1-1, 11500-3-6-1 y 11500-3-7-1.
Retiro del presupuesto inicialmente asignado a las actividades 11800-3-5-1, 11700-2-13-1 y 11700-2-13-2.
Eliminación de la actividad 11700-2-20-1.
Inclusión de los valores de adición y traslados según Resolución 860 de 2018 en las líneas de acción respectivas.</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</si>
  <si>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rFont val="Verdana"/>
        <family val="2"/>
      </rPr>
      <t xml:space="preserve">https://www.adres.gov.co/Transparencia/Manuales-t%C3%A9cnicos  </t>
    </r>
    <r>
      <rPr>
        <sz val="10"/>
        <rFont val="Verdana"/>
        <family val="2"/>
      </rPr>
      <t>tal como se observa en la evidencia localizada en la carpeta de evidencias correspondiente a esta actividad.</t>
    </r>
  </si>
  <si>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</si>
  <si>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</si>
  <si>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r>
      <t>Dentro de la carpeta:</t>
    </r>
    <r>
      <rPr>
        <b/>
        <sz val="10"/>
        <rFont val="Verdana"/>
        <family val="2"/>
      </rPr>
      <t xml:space="preserve"> Evidencias\I trimestre\11600-2-1-1</t>
    </r>
    <r>
      <rPr>
        <sz val="10"/>
        <rFont val="Verdana"/>
        <family val="2"/>
      </rPr>
      <t xml:space="preserve"> se encuentra el listado de procedimientos que se tienen a manera de inventario que se deben desarrollar para la DGTIC, para los tres procesos que componen la dirección: (i) Administración base de datos única de afiliados, (ii) Gestión de proyectos de información, (iii) Gestión de soporte a las tecnologías. 
De los cuales se definió un total de 26 procedimientos para los tres procesos. 
Actualmente, con el apoyo de la oficina de planeación y control de riesgo en cabeza de Johana Bejarano se ha terminado con la generación de la documentación de los 12 procedimientos del grupo interno Administración base de datos única de afiliados.
Se relaciona evidencia de los procedimientos en la carpeta: </t>
    </r>
    <r>
      <rPr>
        <b/>
        <sz val="10"/>
        <rFont val="Verdana"/>
        <family val="2"/>
      </rPr>
      <t>Evidencias\I trimestre\11600-2-1-1</t>
    </r>
  </si>
  <si>
    <r>
      <t xml:space="preserve">Dentro de la carpeta </t>
    </r>
    <r>
      <rPr>
        <b/>
        <sz val="10"/>
        <rFont val="Verdana"/>
        <family val="2"/>
      </rPr>
      <t>Evidencias\I trimestre\11600-3-1-1</t>
    </r>
    <r>
      <rPr>
        <sz val="10"/>
        <rFont val="Verdana"/>
        <family val="2"/>
      </rPr>
      <t xml:space="preserve"> se almacena un archivo indicando que para la revisión del primer trimestre no habían tareas planeadas para está actividad.</t>
    </r>
  </si>
  <si>
    <r>
      <t>Avance Ejecución 0% de acuerdo con lo establecido en el Plan de Acción 2018. Los procedimientos se encuentran en revisión por parte de la Oficina Asesora de Planeación. Se tiene planeado para el</t>
    </r>
    <r>
      <rPr>
        <b/>
        <sz val="10"/>
        <rFont val="Verdana"/>
        <family val="2"/>
      </rPr>
      <t xml:space="preserve"> Segundo Trimestre</t>
    </r>
    <r>
      <rPr>
        <sz val="10"/>
        <rFont val="Verdana"/>
        <family val="2"/>
      </rPr>
      <t xml:space="preserve"> reportar el 100%.</t>
    </r>
  </si>
  <si>
    <r>
      <t xml:space="preserve">
Avance Ejecución 0% de acuerdo con lo establecido en el Plan de Acción 2018. Actividades programadas para iniciar en el </t>
    </r>
    <r>
      <rPr>
        <b/>
        <sz val="10"/>
        <rFont val="Verdana"/>
        <family val="2"/>
      </rPr>
      <t>Tercer Trimestre.</t>
    </r>
  </si>
  <si>
    <r>
      <t xml:space="preserve">Avance ejecución 0% de acuerdo con lo establecido en el Plan de Acción 2018. Actividades programadas para iniciar en el </t>
    </r>
    <r>
      <rPr>
        <b/>
        <sz val="10"/>
        <rFont val="Verdana"/>
        <family val="2"/>
      </rPr>
      <t>Segundo Trimestre.</t>
    </r>
  </si>
  <si>
    <r>
      <t xml:space="preserve">Se dio cumplimiento al avance del 28% correspondiente a la realización de 5 informes para dar respuesta a los Requerimientos Legales Internos. En la ruta One Drive </t>
    </r>
    <r>
      <rPr>
        <b/>
        <sz val="10"/>
        <rFont val="Verdana"/>
        <family val="2"/>
      </rPr>
      <t>EVIDENCIAS/Trimestre I/11800-3-2-1</t>
    </r>
    <r>
      <rPr>
        <sz val="10"/>
        <rFont val="Verdana"/>
        <family val="2"/>
      </rPr>
      <t xml:space="preserve"> se encuentran 5 carpetas con los respectivos informes y soportes de cumplimiento.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</si>
  <si>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avance del 47% del 53% proyectado en el Plan de Acción, realizando 8 informes de los 9 propuestos (1 actividad no requería Informe, sin embargo, fue cumplida) para dar respuesta a los Requerimientos Legales Externos . El informe de nombre "Acompañamiento y Consolidación del Informe de Rendición de la Cuenta Fiscal Anual y envío a la Contraloría General de la República Rendición de Cuentas", proyectado para cumplimiento el 23/03/2018, no pudo ser cumplido en la fecha establecida, ya que se presentaron errores de validación en la información remitida por las dependencias, por lo cual la OCI tuvo de validar varias veces la información antes de rendir el informe a través del aplicativo SIRECI, dicha actividad será cumplida la primera semana de Abril . En la ruta One Drive </t>
    </r>
    <r>
      <rPr>
        <b/>
        <sz val="10"/>
        <rFont val="Verdana"/>
        <family val="2"/>
      </rPr>
      <t>EVIDENCIAS/I Trimestre/11800-3-3-1</t>
    </r>
    <r>
      <rPr>
        <sz val="10"/>
        <rFont val="Verdana"/>
        <family val="2"/>
      </rPr>
      <t xml:space="preserve"> se encuentran 7 carpetas con los respectivos informes y soportes de cumplimiento.
1. Seguimiento al Plan de Mejoramiento CGR SIRECI. (Informe).
2. Revisión y envío de la Gestión Contractual del Trimestre a la CGR SIRECI. (Certificado SIRECI y Plan de Mejoramiento CGN).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Formulario de personal y costos en el CHIP. (Sin Informe/No Aplica).</t>
    </r>
  </si>
  <si>
    <r>
      <t xml:space="preserve">Se dio cumplimiento al avance del 50% a través de la presentación del INFORME DE SEGUIMIENTO PLAN DE MEJORAMIENTO CGR evaluado desde 1 de agosto – 31 de diciembre de 2017. En la ruta One Drive EVIDENCIAS/Trimestre I/11800-3-4-1 se encuentra la carpeta con el respectivo informe y soporte de cumplimiento. El siguiente informe correspondiente al 50%, se emitirá en el </t>
    </r>
    <r>
      <rPr>
        <b/>
        <sz val="10"/>
        <rFont val="Verdana"/>
        <family val="2"/>
      </rPr>
      <t>Tercer Trimestre.</t>
    </r>
  </si>
  <si>
    <r>
      <t xml:space="preserve">En el  mes de enero de 2018 se reportó y publicó en la página Web de la ADRES el informe de seguimiento a la ejecución del Plan de Acción correspondiente al 4° trimestre de 2017. Las evidencias se encuentran en la ruta: </t>
    </r>
    <r>
      <rPr>
        <u/>
        <sz val="10"/>
        <rFont val="Verdana"/>
        <family val="2"/>
      </rPr>
      <t>ONE DRIVE\ADRES\PLAN DE ACCION\DIRECCIÓN GENERAL\OFICINA ASESORA DE PLANEACIÓN Y CONTROL DE RIESGOS\Evidencias\I Trimestre\12000-2-1-1,</t>
    </r>
    <r>
      <rPr>
        <sz val="10"/>
        <rFont val="Verdana"/>
        <family val="2"/>
      </rPr>
      <t xml:space="preserve"> y se denominan como aparecen a continuación:
1. Correo electrónico solicitud  publicación informe.
2. Pantallazo informe publicado.
3. Plan Acción ADRES - 4° Trimestre 11-01-18.</t>
    </r>
  </si>
  <si>
    <r>
      <t xml:space="preserve">En la ruta: </t>
    </r>
    <r>
      <rPr>
        <u/>
        <sz val="10"/>
        <rFont val="Verdana"/>
        <family val="2"/>
      </rPr>
      <t>ONE DRIVE\ADRES\PLAN DE ACCION\DIRECCIÓN GENERAL\OFICINA ASESORA DE PLANEACIÓN Y CONTROL DE RIESGOS\Evidencias\I Trimestre\12000-2-2-1</t>
    </r>
    <r>
      <rPr>
        <sz val="10"/>
        <rFont val="Verdana"/>
        <family val="2"/>
      </rPr>
      <t xml:space="preserve"> se encuentran como evidencias de esta actividad los informes de cumplimiento de avance de obligaciones contractuales y pago correspondientes a los meses de enero, febrero y marzo del contrato 021 de 2018, avalados por el supervisor. Se aclara que el valor del mes de marzo ($5.136.839) fue aprobado por el Supervisor pero no se ha pagado a la fecha del reporte, razón por la cual éste no se incluye dentro de la ejecución presupuestal del primer trimestre. </t>
    </r>
  </si>
  <si>
    <r>
      <t xml:space="preserve">La entidad inició en el primer trimestre la elaboración del Informe al Congreso  de Rendición de Cuentas al Congreso de la República 2017-2018, en coordinación de la Oficina Asesora de Planeación y Control de Riesgos. 
Se estableció un documento de lineamientos que incluye el cronograma respectivo, y se hizo el envío de la primera versión consolidada del informe al Ministerio de Salud y Protección Social, evidenciando el cumplimiento del cronograma de acuerdo con lo establecido. 
En la ruta: </t>
    </r>
    <r>
      <rPr>
        <u/>
        <sz val="10"/>
        <rFont val="Verdana"/>
        <family val="2"/>
      </rPr>
      <t xml:space="preserve">ONE DRIVE\ADRES\PLAN DE ACCION\DIRECCIÓN GENERAL\OFICINA ASESORA DE PLANEACIÓN Y CONTROL DE RIESGOS\Evidencias\I Trimestre\12000-2-3-1  </t>
    </r>
    <r>
      <rPr>
        <sz val="10"/>
        <rFont val="Verdana"/>
        <family val="2"/>
      </rPr>
      <t>se encuentran como evidencias de avance el mencionado documento de lineamientos y el correo electrónico de envío del informe preliminar.</t>
    </r>
  </si>
  <si>
    <t>EJECUCIÓN PRESUPUESTAL ACUMULADA UGG</t>
  </si>
  <si>
    <t>Valor ejecutado</t>
  </si>
  <si>
    <t>Valor programado</t>
  </si>
  <si>
    <t>EJECUCION PRESUPUESTAL ACUMULADA URA</t>
  </si>
  <si>
    <t>EJECUCION PRESUPUESTAL ACUMULADA TOTAL</t>
  </si>
  <si>
    <t xml:space="preserve">Se hace reporte de avance de segundo trimestre, enviando información por este medio por parte de todos los responsables de reporte de información de la Dirección Administrativa y Financiera. </t>
  </si>
  <si>
    <t xml:space="preserve">Se tienen identificados y estructurados todos los procedimientos de la Dirección Administrativa y Financiera, salvo los correspondientes al Grupo Interno de Gestión Administrativa y Documental. Se está avanzando en la elaboración del Manual Operativo de Gestión Administrativa y Documental. Se han identificado ocho (8) procedimientos de gestión documental con sus respectivos flujogramas, que estarán contenidos en el mencionado Manual. 
El levantamiento de los procedimientos de gestión administrativa inició el pasado 28 de junio. Una vez se consolide la información de los procedimientos se procederá a la elaboración de los flujogramas respectivos. Dada la prioridad que comporta el trámite de adición y prorroga de los contratos de funcionamiento, se debe ampliar la fecha de entrega fijada inicialmente para el 16 de julio. El Grupo de Gestión del Talento Humano, con el acompañamiento de la Oficina de Planeación y Control de Riesgos, está avanzando en la elaboración del procedimiento de legalización de comisiones de servicio para funcionarios públicos y desplazamientos de contratistas de la Entidad,  dentro del Plan de Mejoramiento de la ADRES suscrito con la Contraloría General de la República y reportado en el Sistema de Rendición Electrónica de la Cuenta e Informes -SIRECI.  Se adjunta archivo en formato Excel con información actualizada del listado de procedimientos identificados y aprobados de la Dirección Administrativa y Financiera. 
Se tiene un porcentaje de avance del 69%, que se desprende de los 41 procedimientos que se aprobaron en el II Trimestre Vs. 58 procedimientos que se han identificado en la DAF, de acuerdo a la evidencia adjuntada. </t>
  </si>
  <si>
    <t xml:space="preserve">No aplica. </t>
  </si>
  <si>
    <t xml:space="preserve">Dentro de la carpeta: Evidencias\I trimestre\11600-2-1-1 se encuentra copia de los correos enviados por parte de Hisnardo Ubaque Director de la DGTIC, en donde se aprueba los procesos: (i) Gestión de Proyectos de Información. (ii) Gestión de Soporte a las Tecnologías.  Retomando lo expresado en el seguimiento anterior la DGTIC dentro de la primera versión de la documentación de los procesos ha definido un total de 26 procedimientos para los tres procesos. 
Actualmente, con el apoyo de la oficina de planeación y control de riesgo en cabeza de Johana Bejarano se ha terminado con la generación de la documentación de los 26 procedimientos, en donde 14 de ellos corresponden a actividades realizadas dentro de este segundo trimestre. Se relaciona evidencia de los procedimientos en la carpeta: Evidencias\I trimestre\11600-2-1-1. De igual manera estos se encuentran ya publicados dentro del portal Web de la entidad en el enlace https://www.adres.gov.co/Transparencia/Procesos-y-procedimientos 
</t>
  </si>
  <si>
    <t xml:space="preserve">Dentro del segundo trimestre se terminó la definición de procesos y procedimientos de la DGTIC. Por tal motivo, no se cuenta aún con indicadores. Por su parte durante este trimestre no se presentaron acciones de mejora reportadas por parte de Control Interno.
En la carpeta: Evidencias\I trimestre\11600-2-2-1 se encuentra copia de los correos enviados por parte de Hisnardo Ubaque Director de la DGTIC, en donde se aprueba los procesos: (i) Gestión de Proyectos de Información. (ii) Gestión de Soporte a las Tecnologías.  
De igual manera estos se encuentran ya publicados dentro del portal Web de la entidad en el enlace https://www.adres.gov.co/Transparencia/Procesos-y-procedimientos 
</t>
  </si>
  <si>
    <t xml:space="preserve">Teniendo en cuenta el decreto 612 de 2018, en el cual se debe hacer la inclusión del Plan estratégico de Tecnología de Información dentro del plan de acción de la Entidad, se hace la solicitud de eliminación de la actual línea y adición de 4 líneas en las cuales se definen las siguientes actividades frente al plan de acción:_x000D_
1.	Realizar planeación de para la elaboración de la línea base del PETI; de acuerdo con: (i) Estabilización de la operación de la Entidad. (ii) Guía Cómo elaborar el Plan Estratégico de Tecnologías de la Información - PETI del MINTIC._x000D_
2.	Realizar análisis de la situación actual de la Entidad de acuerdo con los dominios: (i) Estrategia de TI. (ii) Gobierno de TI. (iii) Gestión de la información. (iv) Gestión de sistemas de información. (v) Gestión de servicios tecnológicos. (vi) Uso y apropiación de TI_x000D_
3.	Construir visión estratégica de TI alineada a la visión estratégica de la Entidad, el sector y el Plan Nacional de Desarrollo._x000D_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Entidad._x000D_
Se adjunta en la carpeta  Evidencias\II trimestre\11600-3-1-1: _x000D_
1.	Correo electrónico con asunto PLAN DE ACCION - Inclusión de Planes DGTIC, en el cual se explican las modificaciones que se deben hacer dentro del Plan de Acción de la Entidad. _x000D_
2.	PlaneacionPETI. Presentación en donde se relaciona el alcance del desarrollo de la línea Base del PETI dentro de la Entidad._x000D_
</t>
  </si>
  <si>
    <t xml:space="preserve">Dentro de la carpeta Evidencias\II trimestre\11600-3-3-1 se encuentra la evidencia de los pagos realizados frente a esta actividad. Tener en cuenta las siguientes consideraciones:
Tomando como insumo el plan de adquisiciones de la vigencia presente para esta actividad se tiene la relación de los siguientes Rubros: (a) Adquirir licencias Microsoft, el soporte de las mismas y demás servicios conexos. (b) Adquirir el licenciamiento en la nube de la solución Dynamics 365 Enterprise para atención a incidentes en mesa de ayuda. (c) Renovación del licenciamiento del software Crypto-Vault para las actividades de aseguramiento criptográfico digital de los archivos recibidos y remitidos por la ADRES.
Ahora bien, para las actividades relacionadas se reporta el siguiente avance
1. Adquirir licencias Microsoft, el soporte de las mismas y demás servicios conexos. 
De acuerdo a la orden de compra 27518, la cual puede ser consultada en el enlace https://www.colombiacompra.gov.co/tienda-virtual-del-estado-colombiano/ordenes-compra/27518,  esta quedo a nombre del proveedor UT Soluciones Microsoft 2017, por un valor total de $331.449.357,90 De donde:
• Primera factura por valor de $285.637.436,68 ya cancelada. (Ver Evidencias\II trimestre\11600-3-3-1\ Licencias Microsoft\ Pago 1 Colsoft.pdf)
• Segunda factura por valor de $2.768.925.27 radicada el 10/07/2018. (Ver Evidencias\II trimestre\11600-3-3-1\ Licencias Microsoft\ Pago 2 Colsoft.pdf)
2. Adquirir el licenciamiento en la nube de la solución Dynamics 365 Enterprise para atención a incidentes en mesa de ayuda. 
Esta actividad se encuentra a cargo del proveedor Controles Empresariales bajo contrato 077 de 2018. En el cierre del presente informe no se ha realizado ningún pago.  Finalmente, la DGTIC junto con el proveedor se encuentran en la definición del cronograma del proyecto para la implementación de la solución.
3. Renovación del licenciamiento del software Crypto-Vault para las actividades de aseguramiento criptográfico digital de los archivos recibidos y remitidos por la ADRES. 
El proceso actualmente se encuentra en renovación de contratación, de acuerdo con:
• Correo electrónico dirigido al grupo Interno de Contratación (RE documentos soportes contratos titan y crypto-vault.msg)
• Oficio Enviado al grupo Interno de contratación. (DOC200618.pdf).
Dichas evidencias se encuentran en la carpeta Evidencias\II trimestre\11600-3-3-1\ CriptoVault.
ACLARACIÓN SOBRE LA EJECUCIÓN DE LA ACTIVIDAD: Esta actividad para este trimestre tenía presupuestado ejecutar $ 329.615.850 pesos y en el momento de hacer el presente seguimiento se ha ejecutado $285.637.436,68, el cual corresponde a 28.22% del valor proyectado.
</t>
  </si>
  <si>
    <t>Dentro de la carpeta Evidencias\II trimestre\11600-3-4-1 se almacena un archivo indicando que para la revisión del segundo trimestre no había tareas planeadas para esta actividad.</t>
  </si>
  <si>
    <r>
      <t xml:space="preserve">Dentro de la carpeta </t>
    </r>
    <r>
      <rPr>
        <b/>
        <sz val="10"/>
        <color theme="1"/>
        <rFont val="Verdana"/>
        <family val="2"/>
      </rPr>
      <t>Evidencias\I trimestre\11600-3-3-1</t>
    </r>
    <r>
      <rPr>
        <sz val="10"/>
        <color theme="1"/>
        <rFont val="Verdana"/>
        <family val="2"/>
      </rPr>
      <t>se almacena un archivo indicando que para la revisión del primer trimestre no habían tareas planeadas para esta actividad.</t>
    </r>
  </si>
  <si>
    <r>
      <t xml:space="preserve">Dentro de la carpeta </t>
    </r>
    <r>
      <rPr>
        <b/>
        <sz val="10"/>
        <color theme="1"/>
        <rFont val="Verdana"/>
        <family val="2"/>
      </rPr>
      <t>Evidencias\I trimestre\11600-3-4-1</t>
    </r>
    <r>
      <rPr>
        <sz val="10"/>
        <color theme="1"/>
        <rFont val="Verdana"/>
        <family val="2"/>
      </rPr>
      <t xml:space="preserve"> se almacena un archivo indicando que para la revisión del primer trimestre no habían tareas planeadas para esta actividad.</t>
    </r>
  </si>
  <si>
    <r>
      <t xml:space="preserve">Dentro de la carpeta </t>
    </r>
    <r>
      <rPr>
        <b/>
        <sz val="10"/>
        <rFont val="Verdana"/>
        <family val="2"/>
      </rPr>
      <t>Evidencias\I trimestre\11600-3-5-1</t>
    </r>
    <r>
      <rPr>
        <sz val="10"/>
        <rFont val="Verdana"/>
        <family val="2"/>
      </rPr>
      <t xml:space="preserve">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(a) </t>
    </r>
    <r>
      <rPr>
        <b/>
        <sz val="10"/>
        <rFont val="Verdana"/>
        <family val="2"/>
      </rPr>
      <t>Prestar el servicio de soporte y administración de la plataforma de gestión documental DOCUMENTUM y la solución de correspondencia de la ADRES</t>
    </r>
    <r>
      <rPr>
        <sz val="10"/>
        <rFont val="Verdana"/>
        <family val="2"/>
      </rPr>
      <t xml:space="preserve">. 
Se realizo contrato No. 0064 de 2018, con fecha de inicio el 26 de Enero del 2018 hasta el 31 de Diciembre del 2018
Las evidencias se encuentran en Evidencias\I trimestre\11600-3-5-1\Mega Group, de donde: 
El mes de diciembre 2018 (Carpeta Pago Dic 2017 con documentación adjunta), el cual ya se encuentra </t>
    </r>
    <r>
      <rPr>
        <b/>
        <sz val="10"/>
        <rFont val="Verdana"/>
        <family val="2"/>
      </rPr>
      <t>paga</t>
    </r>
    <r>
      <rPr>
        <sz val="10"/>
        <rFont val="Verdana"/>
        <family val="2"/>
      </rPr>
      <t xml:space="preserve">. 
El mes de enero (Soporte Pago Mes Enero.pdf), el cual ya se encuentra </t>
    </r>
    <r>
      <rPr>
        <b/>
        <sz val="10"/>
        <rFont val="Verdana"/>
        <family val="2"/>
      </rPr>
      <t>paga</t>
    </r>
    <r>
      <rPr>
        <sz val="10"/>
        <rFont val="Verdana"/>
        <family val="2"/>
      </rPr>
      <t xml:space="preserve">. 
El mes de Febrero (Soporte Pago Mes Febrero.pdf) ya se encuentra pago. 
Finalmente, para el mes de marzo (Soporte Pago Mes Marzo.pdf)  se encuentra Radicada la factura.
(b) </t>
    </r>
    <r>
      <rPr>
        <b/>
        <sz val="10"/>
        <rFont val="Verdana"/>
        <family val="2"/>
      </rPr>
      <t>Servicio de videoconferencia gubernamental y adquisición de equipos</t>
    </r>
    <r>
      <rPr>
        <sz val="10"/>
        <rFont val="Verdana"/>
        <family val="2"/>
      </rPr>
      <t xml:space="preserve">.
Se realizó contacto con 2 proveedores para validar las posibles soluciones a implementar según las necesidades de la entidad, realizaron levantamiento de información y toma de medidas para entregar una cotización formal.
Las evidencias se encuentran en Evidencias\I trimestre\11600-3-5-1\Video conferencia, de donde: 
Acta de visita de proveedor para videoconferencia.
</t>
    </r>
    <r>
      <rPr>
        <b/>
        <sz val="10"/>
        <rFont val="Verdana"/>
        <family val="2"/>
      </rPr>
      <t>ACLARACIÓN SOBRE LA EJECUCIÓN DE LA ACTIVIDAD</t>
    </r>
    <r>
      <rPr>
        <sz val="10"/>
        <rFont val="Verdana"/>
        <family val="2"/>
      </rPr>
      <t xml:space="preserve">: Esta actividad para este trimestre tenía presupuestado ejecutar $ 57,091,580 pesos y hasta el momento se ha ejecutado (pagado) $47.197.600 + radicado mes de marzo (en proceso de pago) $19.992.000.
Se tiene un valor ejecutado de $47.197.600 dando una diferencia de $9,893,980. Por tal razón hasta el momento se tiene un 82,67,85% de la ejecución del presupuesto asignado para está actividad en este trimestre.
</t>
    </r>
  </si>
  <si>
    <t xml:space="preserve">Dentro de la carpeta Evidencias\II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1. Prestar el servicio de soporte y administración de la plataforma de gestión documental DOCUMENTUM y la solución de correspondencia de la ADRES. 
• El mes de marzo Soporte Pago 032018 Megareoup.pdf), Radicado en el seguimiento anterior, pero al corte de dicha revisión no se había cancelado, Actualmente se encuentra Pago.
• El mes de abril (Soporte Pago 042018 Megareoup.pdf), Se encuentra actualmente Pago.
• El mes de mayo (Soporte Pago 052018 Megareoup.pdf), Se encuentra actualmente Pago.
• El mes de junio No se ha radicado la cuenta de cobro.
2. Servicio de videoconferencia gubernamental y adquisición de equipos.
Actualmente, nos encontramos en proceso de definición de los anexos técnicos para la definición del alcance de la solución de Servicio de videoconferencia gubernamental que aplique a las necesidades de la Entidad.
3. Adquirir la Prestación de Servicios BPO-Mesa de ayuda, mediante Acuerdo Marco de Precios. 
Se tiene la Orden de compra número 29276, que puede ser consultada en  https://www.colombiacompra.gov.co/tienda-virtual-del-estado-colombiano/ordenes-compra/29276, la cual en corte al presente informe no se le ha realizado ningún pago.
ACLARACIÓN SOBRE LA EJECUCIÓN DE LA ACTIVIDAD: Esta actividad para este trimestre tenía presupuestado ejecutar $ 103.980.335 pesos y en el momento de hacer el presente seguimiento se ha ejecutado $59.976.000, el cual corresponde a 57.68% del valor proyectado.
</t>
  </si>
  <si>
    <r>
      <t xml:space="preserve">Dentro de la carpeta </t>
    </r>
    <r>
      <rPr>
        <b/>
        <sz val="10"/>
        <color theme="1"/>
        <rFont val="Verdana"/>
        <family val="2"/>
      </rPr>
      <t>Evidencias\I trimestre\11600-3-6-1</t>
    </r>
    <r>
      <rPr>
        <sz val="10"/>
        <color theme="1"/>
        <rFont val="Verdana"/>
        <family val="2"/>
      </rPr>
      <t xml:space="preserve"> se almacena un archivo indicando que para la revisión del primer trimestre no habían tareas planeadas para esta actividad.</t>
    </r>
  </si>
  <si>
    <t xml:space="preserve">Para este trimestre de acuerdo con el plan de adquisiciones se debía empezar a ejecutar el presupuesto. Teniendo en cuenta que la ley de garantías se terminó el 17 de junio de 2018, dentro de este trimestre no se pudo ejecutar recurso en dicha actividad.  
ACLARACIÓN SOBRE LA EJECUCIÓN DE LA ACTIVIDAD: Esta actividad para este trimestre tenía presupuestado ejecutar $ 138.720.000 pesos y en el momento de hacer el presente seguimiento se ha ejecutado $0, el cual corresponde a 0.00% del valor proyectado.
</t>
  </si>
  <si>
    <t xml:space="preserve">Dentro de la carpeta Evidencias\I trimestre\11600-3-7-1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Evidencias\I trimestre\11600-3-7-1\ John Edwin Rodríguez Sánchez, de donde: 
• El mes de marzo (Informe 201803 John Edwin Rodriguez.pdf), Radicado en el seguimiento anterior, pero al corte de dicha revisión no se había cancelado, Actualmente se encuentra cancelada.
• El mes de abril (Informe 201804 John Edwin Rodriguez.pdf), Se encuentra actualmente pago.
• El mes de mayo (Informe 201805 John Edwin Rodriguez.pdf), Se encuentra actualmente pago.
• El mes de junio (Informe 201806 John Edwin Rodriguez.pdf), Se encuentra actualmente radicado.
ACLARACIÓN SOBRE LA EJECUCIÓN DE LA ACTIVIDAD: Esta actividad para este trimestre tenía presupuestado ejecutar $ 12.240.000 + radicado mes de junio (en proceso de pago) $4.080.000.   Es importante aclarar que, aunque el 100% del valor proyectado se ha ejecutado, se tienen $4.080.000 que corresponden a la radicación del mes de marzo y que se relacionan en el presente reporte, ya que en el anterior corte no habían sido pagados por parte de la Entidad. 
</t>
  </si>
  <si>
    <t xml:space="preserve">Dentro de la carpeta Evidencias\II trimestre\11600-3-9-1 se encuentra la evidencia de los pagos realizados frente a esta actividad. Tener en cuenta las siguientes consideraciones:
(i)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Evidencias\II trimestre\11600-3-9-1\ Manuel Alejandro Peña Vargas, de donde:
• El mes de marzo (Informe parcial 3-Contrato 0024_2018.pdf), Radicado en el seguimiento anterior, pero al corte de dicha revisión no se había cancelado, Actualmente se encuentra cancelada.
• El mes de abril (Informe parcial 4-Contrato 0024_2018.pdf), Se encuentra actualmente pago.
• El mes de mayo (Informe parcial 5-Contrato 0024_2018.pdf), Se encuentra actualmente pago.
• El mes de junio (Informe parcial 6-Contrato 0024_2018.pdf), Se encuentra actualmente radicado.
2. Jorge Augusto Suarez Isaza. Inicia Actividades el día 11 de enero de 2018 bajo el contrato 0019 de 2018. Las evidencias se encuentran en Evidencias\II trimestre\11600-3-9-1\ Jorge Augusto Suarez Isaza, de donde:
• El mes de marzo (Informe 032018 JORGE SUAREZ.pdf), Radicado en el seguimiento anterior, pero al corte de dicha revisión no se había cancelado, Actualmente se encuentra cancelada.
• El mes de abril (Informe 042018 JORGE SUAREZ.pdf), Se encuentra actualmente pago.
• El mes de mayo (Informe 052018 JORGE SUAREZ.pdf), Se encuentra actualmente pago.
• El mes de junio (Informe 062018 JORGE SUAREZ.pdf), Se encuentra actualmente radicado.
3. Yuly Margoth Otalora Bernal. Inicia Actividades el día 01 de febrero de 2018 bajo el contrato 0068 de 2018. Las evidencias se encuentran en Evidencias\I trimestre\11600-3-9-1\Yuly Margoth Otalora Bernal, de donde: 
• El mes de marzo (Informe 201803 Yuly Margoth Otalora Bernal.pdf), Radicado en el seguimiento anterior, pero al corte de dicha revisión no se había cancelado, Actualmente se encuentra cancelada.
• El mes de abril (Informe 201804 Yuly Margoth Otalora Bernal.pdf), Se encuentra actualmente pago.
• El mes de mayo (Informe 201805 Yuly Margoth Otalora Bernal.pdf), Se encuentra actualmente pago.
• El mes de junio (Informe 201806 Yuly Margoth Otalora Bernal.pdf), Se encuentra actualmente radicado.
ACLARACIÓN SOBRE LA EJECUCIÓN DE LA ACTIVIDAD: Teniendo en cuenta que dentro de esta actividad para este trimestre se tenía presupuestado ejecutar $ 128.634.000 y hasta el momento se ha ejecutado (pagado) $ 37.711.221 + radicado mes de junio (en proceso de pago) $12,590,407. 
Se tiene un valor ejecutado de $ 37.711.221 dando una diferencia de $ 90.922.779, el cual es producto a que no se ha podido contratar todos los contratistas que se tenían presupuestados; ya que dentro del primer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29.31% de la ejecución del presupuesto asignado para esta actividad en este trimestre.
</t>
  </si>
  <si>
    <t xml:space="preserve">Dentro de la carpeta Evidencias\II trimestre\11600-3-10-1 se encuentra la evidencia de los pagos realizados frente a esta actividad al contratista PCCOM. Tener en cuenta las siguientes consideraciones:
• El mes de marzo (Pago 032018 PCcom.pdf), Radicado en el seguimiento anterior, pero al corte de dicha revisión no se había cancelado, Actualmente se encuentra cancelada.
• El mes de abril (Pago 042018 PCcom.pdf), Se encuentra actualmente pago.
• El mes de mayo (Pago 052018 PCcom.pdf), Se encuentra actualmente pago.
ACLARACIÓN SOBRE LA EJECUCIÓN DE LA ACTIVIDAD: En esta actividad para este trimestre se tenía presupuestado ejecutar $211.535.887,5 y hasta el momento se ha ejecutado (pagado) $ 157.497.690. Por tal razón hasta el momento se tiene un 74.45% de la ejecución del presupuesto asignado para esta actividad en este trimestre.  
</t>
  </si>
  <si>
    <t>11600-3-11</t>
  </si>
  <si>
    <t>Red de almacenamiento de información (producto o servicio)</t>
  </si>
  <si>
    <t>11600-3-11-1</t>
  </si>
  <si>
    <t>Apoyo técnico para la implementación de la red de almacenamiento de información.</t>
  </si>
  <si>
    <t>Dentro de la carpeta Evidencias\II trimestre\11600-3-11-1 se almacena un archivo indicando que para la revisión del segundo trimestre no había tareas planeadas para esta actividad.</t>
  </si>
  <si>
    <t>11600-3-12</t>
  </si>
  <si>
    <t>Portal web y portal intranet de la ADRES</t>
  </si>
  <si>
    <t>11600-3-12-1</t>
  </si>
  <si>
    <t>Administración y desarrollo de soluciones en la plataforma SharePoint requeridas para el portal web y portal intranet de la ADRES</t>
  </si>
  <si>
    <t>Se anexan a la carpeta compartida por la Oficina Asesora de Planeación y Control de Riesgos, las cuentas de cobros radicados del trimestre, las cuales evidencian la ejecución de los recursos asignados y programados entre Abril a Junio de 2018.
Se anexan a la carpeta compartida por la Oficina Asesora de Planeación y Control de Riesgos, la relación de registros de recaudos identificados Vs. Total de Registros recaudos en el II Trimestre.</t>
  </si>
  <si>
    <t>Se anexan a la carpeta compartida por la Oficina Asesora de Planeación y Control de Riesgos, los Informe de Control de Recaudo y Fuentes de Financiamiento, correspondientes a los periodos comprendidos de: 1) Marzo 2018; 2) Abril 2018; y 3) Mayo 2018.</t>
  </si>
  <si>
    <t>Se reportó el 11 de julio en este documento los avances de la ejecución del Plan de Acción de esta dependencia.</t>
  </si>
  <si>
    <r>
      <t xml:space="preserve">Durante el 2° trimestre de 2018 se realizó el seguimiento al Plan de Acción correspondiente al 1° trimestre de 2018, cuyo informe de avance se reportó y publicó en la página Web de la ADRES Las evidencias se encuentran en la ruta: </t>
    </r>
    <r>
      <rPr>
        <u/>
        <sz val="10"/>
        <color theme="4"/>
        <rFont val="Verdana"/>
        <family val="2"/>
      </rPr>
      <t>ONE DRIVE\ADRES\PLAN DE ACCION\DIRECCIÓN GENERAL\OFICINA ASESORA DE PLANEACIÓN Y CONTROL DE RIESGOS\Evidencias\II Trimestre\12000-2-1-1.</t>
    </r>
  </si>
  <si>
    <r>
      <t xml:space="preserve">En la ruta: </t>
    </r>
    <r>
      <rPr>
        <u/>
        <sz val="10"/>
        <color theme="4"/>
        <rFont val="Verdana"/>
        <family val="2"/>
      </rPr>
      <t>ONE DRIVE\ADRES\PLAN DE ACCION\DIRECCIÓN GENERAL\OFICINA ASESORA DE PLANEACIÓN Y CONTROL DE RIESGOS\Evidencias\II Trimestre\12000-2-2-1</t>
    </r>
    <r>
      <rPr>
        <sz val="10"/>
        <color theme="1"/>
        <rFont val="Verdana"/>
        <family val="2"/>
      </rPr>
      <t xml:space="preserve"> se encuentran como evidencias de esta actividad los informes de cumplimiento de avance de obligaciones contractuales y pago correspondientes a los meses de abril, mayo y junio del contrato 021 de 2018, avalados por el supervisor. Se aclara que el valor del mes de marzo ($5.136.839) fue pagado durante el periodo objeto de reporte, por lo que se incluye dentro de la ejecución presupuestal del segundo trimestre; y el valor del mes de junio ($5.136.839) fue aprobado por el Supervisor pero no se ha pagado a la fecha del reporte, razón por la cual éste no se incluye dentro de la ejecución presupuestal del segundo trimestre. </t>
    </r>
  </si>
  <si>
    <r>
      <t xml:space="preserve">Se da cumplimiento al reporte correspondiente al </t>
    </r>
    <r>
      <rPr>
        <b/>
        <sz val="10"/>
        <color theme="1"/>
        <rFont val="Verdana"/>
        <family val="2"/>
      </rPr>
      <t xml:space="preserve">Segundo Trimestre </t>
    </r>
    <r>
      <rPr>
        <sz val="10"/>
        <color theme="1"/>
        <rFont val="Verdana"/>
        <family val="2"/>
      </rPr>
      <t>de 2018, el viernes 6 de julio de 2018.</t>
    </r>
  </si>
  <si>
    <r>
      <t xml:space="preserve">Avance Ejecución 100%  en el </t>
    </r>
    <r>
      <rPr>
        <b/>
        <sz val="10"/>
        <color theme="1"/>
        <rFont val="Verdana"/>
        <family val="2"/>
      </rPr>
      <t xml:space="preserve">Segundo Trimestre </t>
    </r>
    <r>
      <rPr>
        <sz val="10"/>
        <color theme="1"/>
        <rFont val="Verdana"/>
        <family val="2"/>
      </rPr>
      <t>de acuerdo con lo establecido en el Plan de Acción 2018. Los procedimientos fueron aprobados e incluidos en el Manual operativo de Control y Evaluación de la Gestión, el cual se encuentra publicado en la Página web de la entidad.</t>
    </r>
  </si>
  <si>
    <r>
      <t xml:space="preserve">
Avance Ejecución 0% de acuerdo con lo establecido en el Plan de Acción 2018. Actividades programadas para iniciar en el </t>
    </r>
    <r>
      <rPr>
        <b/>
        <sz val="10"/>
        <color theme="1"/>
        <rFont val="Verdana"/>
        <family val="2"/>
      </rPr>
      <t>Tercer Trimestre.</t>
    </r>
  </si>
  <si>
    <r>
      <t xml:space="preserve">Se dio cumplimiento al avance del 25% en el 2 trimestre correspondiente a la realización de 2 informes. En la ruta One Drive </t>
    </r>
    <r>
      <rPr>
        <b/>
        <sz val="10"/>
        <color theme="1"/>
        <rFont val="Verdana"/>
        <family val="2"/>
      </rPr>
      <t>EVIDENCIAS/Trimestre II/11800-3-1-1</t>
    </r>
    <r>
      <rPr>
        <sz val="10"/>
        <color theme="1"/>
        <rFont val="Verdana"/>
        <family val="2"/>
      </rPr>
      <t xml:space="preserve"> se encuentran 2 carpetas con los respectivos informes y soportes de cumplimiento.
1. Arqueo Caja Menor - ADRES- 2018.
2. Informe de seguimiento Estado de ejecución presupuestal ADRES -UGG-URA.</t>
    </r>
  </si>
  <si>
    <r>
      <t xml:space="preserve">Se dio cumplimiento al avance del 28% en el </t>
    </r>
    <r>
      <rPr>
        <b/>
        <sz val="10"/>
        <color theme="1"/>
        <rFont val="Verdana"/>
        <family val="2"/>
      </rPr>
      <t xml:space="preserve">Segundo Trimestre </t>
    </r>
    <r>
      <rPr>
        <sz val="10"/>
        <color theme="1"/>
        <rFont val="Verdana"/>
        <family val="2"/>
      </rPr>
      <t>correspondiente a la realización de 5 informes para dar respuesta a los Requerimientos Legales Internos. En la ruta One Drive EVIDENCIAS/Trimestre II/11800-3-2-1 se encuentran 5 carpetas con los respectivos informes y soportes de cumplimiento.
1. Seguimiento a las medidas de austeridad en el gasto público en ADRES (Decretos 1737 y 2209 de 1998 y el 2445 de 2000).
2. Evaluación al Sistema de Información y Gestión del Empleo Público - SIGEP.
3. Seguimiento a la Ley de Transparencia 1712 de 2014.
4. Seguimiento Plan Anticorrupción.   
5. Seguimiento al cumplimiento del Artículo 76 de la ley 1474 de 2011. Atención al Ciudadano y PQR.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</si>
  <si>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12% proyectado en el Plan de Acción para el Segundo Trimestre, realizando 2 informes de los 2 propuestos y presentando 1 informe que se encontraba pendiente del Primer Trimestre. En la ruta One Drive </t>
    </r>
    <r>
      <rPr>
        <b/>
        <sz val="10"/>
        <color theme="1"/>
        <rFont val="Verdana"/>
        <family val="2"/>
      </rPr>
      <t>EVIDENCIAS/Trimestre II/11800-3-3-1</t>
    </r>
    <r>
      <rPr>
        <sz val="10"/>
        <color theme="1"/>
        <rFont val="Verdana"/>
        <family val="2"/>
      </rPr>
      <t xml:space="preserve"> se encuentran 3 carpetas con los respectivos informes y soportes de cumplimiento.
1. Acompañamiento y Consolidación del Informe de Rendición de la Cuenta Fiscal Anual y envío a la Contraloría General de la República (Pendiente del 1 Trimestre).
2. Revisión y envío de la Gestión Contractual del Trimestre a la CGR, a través del SIRECI.
3. Seguimiento y Evaluación Mapa de Riesgos Institucional y de corrupción.
</t>
    </r>
  </si>
  <si>
    <r>
      <t xml:space="preserve">Se dio cumplimiento al avance del 50%  en el </t>
    </r>
    <r>
      <rPr>
        <b/>
        <sz val="10"/>
        <color theme="1"/>
        <rFont val="Verdana"/>
        <family val="2"/>
      </rPr>
      <t>Primer Trimestre</t>
    </r>
    <r>
      <rPr>
        <sz val="10"/>
        <color theme="1"/>
        <rFont val="Verdana"/>
        <family val="2"/>
      </rPr>
      <t xml:space="preserve"> a través de la presentación del INFORME DE SEGUIMIENTO PLAN DE MEJORAMIENTO CGR. El siguiente informe correspondiente al 50%, se emitirá en el </t>
    </r>
    <r>
      <rPr>
        <b/>
        <sz val="10"/>
        <color theme="1"/>
        <rFont val="Verdana"/>
        <family val="2"/>
      </rPr>
      <t>Tercer Trimestre</t>
    </r>
    <r>
      <rPr>
        <sz val="10"/>
        <color theme="1"/>
        <rFont val="Verdana"/>
        <family val="2"/>
      </rPr>
      <t>.</t>
    </r>
  </si>
  <si>
    <r>
      <t xml:space="preserve">Se da cumplimiento al avance del 25% en el </t>
    </r>
    <r>
      <rPr>
        <b/>
        <sz val="10"/>
        <color theme="1"/>
        <rFont val="Verdana"/>
        <family val="2"/>
      </rPr>
      <t xml:space="preserve">Segundo Trimestre </t>
    </r>
    <r>
      <rPr>
        <sz val="10"/>
        <color theme="1"/>
        <rFont val="Verdana"/>
        <family val="2"/>
      </rPr>
      <t xml:space="preserve"> correspondiente a la emisión de 3 Boletines de autocontrol. En la ruta One Drive </t>
    </r>
    <r>
      <rPr>
        <b/>
        <sz val="10"/>
        <color theme="1"/>
        <rFont val="Verdana"/>
        <family val="2"/>
      </rPr>
      <t>EVIDENCIAS/Trimestre II/11800-3-5-1</t>
    </r>
    <r>
      <rPr>
        <sz val="10"/>
        <color theme="1"/>
        <rFont val="Verdana"/>
        <family val="2"/>
      </rPr>
      <t xml:space="preserve"> se encuentran los 3 boletines emitidos por la OCI correspondientes a los meses de abril, mayo y junio de 2018. </t>
    </r>
  </si>
  <si>
    <t xml:space="preserve">Se reporta el número de procesos de contratación efectuados en el período los cuales fueron solicitados por las diferentes dependencias de la Entidad.
Financieramente solo se reportan los contratos propios del grupo.
</t>
  </si>
  <si>
    <t>se solicitaron107 certificados y ese mismo valor fue entregado en ese periodo</t>
  </si>
  <si>
    <t>Esta en proceso de contratación esta para firma  de las partes </t>
  </si>
  <si>
    <t>Se incluye informe de ejecución presupuestal del mes de marzo, dado que se canceló en el trimestre objeto de reporte. En este avance de ejecución no se incluye el valor a pagar del mes de junio, dado que no se pagó al corte del trimestre.</t>
  </si>
  <si>
    <t xml:space="preserve"> $ - </t>
  </si>
  <si>
    <t>El avance del Plan de Acción se reportó el 13 de julio de 2018.</t>
  </si>
  <si>
    <t>Para el segundo trimestre de la vigencia no se identificaron nuevos procedimientos o procedimientos que dieran lugar a reportes.</t>
  </si>
  <si>
    <t xml:space="preserve">Dirección General </t>
  </si>
  <si>
    <t>11200-2-10</t>
  </si>
  <si>
    <t>Informe mensual de los contenidos digitales de la ADRES</t>
  </si>
  <si>
    <t>11600-2-10-1</t>
  </si>
  <si>
    <t>Administrar los contenidos de los medios digitales de la ADRES</t>
  </si>
  <si>
    <t># Informes de administración de contenidos digitales de la ADRES</t>
  </si>
  <si>
    <t>Dirección General
Dirección de Gestión de Tecnología de Información y Comunicaciones</t>
  </si>
  <si>
    <t>11200-2-7</t>
  </si>
  <si>
    <t>Página Web de la ADRES adaptada a requisitos de la NTC 5854.</t>
  </si>
  <si>
    <t>11200-2-7-1</t>
  </si>
  <si>
    <t>Página web de la entidad adaptada de acuerdo con la NTC 5854, que establece los requisitos de accesibilidad que son aplicables a las páginas web</t>
  </si>
  <si>
    <t xml:space="preserve"># Requisitos de la NTC 5854 adaptados en la página Web de la ADRES/# Requisitos de la NTC 5854 </t>
  </si>
  <si>
    <t>11300/11700-2</t>
  </si>
  <si>
    <t>11300/11700-2-1</t>
  </si>
  <si>
    <t>NIIF implementadas</t>
  </si>
  <si>
    <t>11300/11700-2-1-1</t>
  </si>
  <si>
    <t>Implementar las NIIF de acuerdo con la Resolución 553, el instructivo 002 de 2015 y sus modificaciones.</t>
  </si>
  <si>
    <t># Actividades realizadas para la implementación de las NIIF / # actividades programadas para la implementación de las NIIF</t>
  </si>
  <si>
    <t>11300/11700</t>
  </si>
  <si>
    <t>Dirección de Gestión de Recursos Financieros para la Salud
Dirección Administrativa y Financiera</t>
  </si>
  <si>
    <t>Definición y aprobación de planes asociados a la DGTIC (Plan Estratégico de Tecnologías de la Información y las Comunicaciones PETI, Plan de Seguridad y Privacidad de la Información y Plan de Tratamiento de Riesgos de Seguridad y Privacidad de la Información)</t>
  </si>
  <si>
    <t xml:space="preserve">Porcentual </t>
  </si>
  <si>
    <t># Planes asociados a la DGTIC aprobados / # Planes asociados a la DGTIC establecidos</t>
  </si>
  <si>
    <t>Dentro de la carpeta Evidencias\II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Adquirir el Servicio de Centro de Datos Principal para la ADRES. (b) Contratar la prestación del Servicio de Centro de Datos / Nube Privada (Adición). (c) Adquirir servicios de conectividad para la Entidad Administradora de los Recursos del Sistema General de Seguridad Social en Salud (Adición).
1. Adquirir el Servicio de Centro de Datos Principal para la ADRES.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Actualmente, se está en proceso de definición de la migración del centro de datos; por consiguiente, no se ha gastado presupuesto asignado a dicha actividad.
2. Contratar la prestación del Servicio de Centro de Datos / Nube Privada (Adición).
Se tiene la relación con el proveedor Century Link (Level 3), la cual inicia Actividades el día 15 de mayo de 2017 bajo el contrato 0059 de 2017. Las evidencias se encuentran en Evidencias\ II trimestre\11600-3-2-1\Nube Privada, de donde: 
• Enero (Pago 032018 nube privada.pdf), la cual no fue radicada antes del seguimiento anterior, Actualmente se encuentra Paga.
• Febrero (Pago 032018 nube privada.pdf), la cual no fue radicada antes del seguimiento anterior, Actualmente se encuentra Paga.
• Marzo (Pago 032018 nube privada.pdf), la cual no fue radicada antes del seguimiento anterior, Actualmente se encuentra Paga.
• Abril (Pago 042018 nube privada.pdf), Se encuentra actualmente Paga.
• Mayo (Pago 052018 Nube privada.pdf), Se encuentra actualmente No se ha pagado. 
• Junio Al cierre del presente reporte no se ha radicado por parte del proveedor las facturas correspondientes al mes.
3.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Evidencias\II trimestre\11600-3-2-1\Conectividad, de donde: 
• Diciembre(Pago 201701 Conectividad.pdf), la cual no fue radicada antes del seguimiento anterior, Actualmente se encuentra Paga.
• Enero (Pago 201801 Conectividad.pdf), la cual no fue radicada antes del seguimiento anterior, Actualmente se encuentra Paga.
• Febrero (Pago 032018(2).pdf), la cual no fue radicada antes del seguimiento anterior, Actualmente se encuentra Paga.
• Marzo (Pago 201803 Conectividad.pdf), la cual no fue radicada antes del seguimiento anterior, Actualmente se encuentra Paga.
• Abril (Pago 201804 Conectividad.pdf), Se encuentra actualmente Paga.
• Mayo (Pago 201805 Conectividad.pdf), Se encuentra actualmente Paga. 
• Junio Al cierre del presente reporte no se ha radicado por parte del proveedor las facturas correspondientes al mes.
ACLARACIÓN SOBRE LA EJECUCIÓN DE LA ACTIVIDAD: Esta actividad para este trimestre tenía presupuestado ejecutar $ 1.016.449.335 pesos y en el momento de hacer el presente seguimiento se ha ejecutado $ 1.262.981.648, el cual corresponde a 121.022% del valor proyectado.</t>
  </si>
  <si>
    <t>La apropiación se ajustó, teniendo en cuenta la Resolución 2572 del 26 de junio de 2018.  </t>
  </si>
  <si>
    <t>La apropiación se ajustó, teniendo en cuenta la Resolución 1667 del 3 de mayo de 2018 y la Resolución 2572 del 26 de junio de 2018.  </t>
  </si>
  <si>
    <t>La  apropiación se ajusto, teniendo en cuenta  la  Resolución 1668 del 04 de mayo de 2018, a  este concepto se le realizo una adición presupuestal.   </t>
  </si>
  <si>
    <t>La meta del indicador se excede con respecto a lo establecido, ya que para los últimos días de junio se logró vincular al comunity manager, mejorando así los procesos y los resultados en las redes sociales.</t>
  </si>
  <si>
    <t>La información en rojo corresponde a aquella incluida o ajustada por concepto de: 
* Modificaciones al Plan Anual de Adquisiciones
* Resoluciones de adición, reducción y/o traslados de presupuesto de gastos administrados y/o funcionamiento.</t>
  </si>
  <si>
    <t>Presupuesto Total 1° Trimestre</t>
  </si>
  <si>
    <t>Presupuesto URA 1° Trimestre</t>
  </si>
  <si>
    <t>Presupuesto UGG 1° Trimestre</t>
  </si>
  <si>
    <t>Presupuesto Total 2° Trimestre</t>
  </si>
  <si>
    <t>Presupuesto URA 2° Trimestre</t>
  </si>
  <si>
    <t>Presupuesto UGG 2° Trimestre</t>
  </si>
  <si>
    <t>Ejecución Total 2° Trimestre</t>
  </si>
  <si>
    <t>Ejecución URA 2° Trimestre</t>
  </si>
  <si>
    <t>Ejecución UGG 2° Trimestre</t>
  </si>
  <si>
    <t>Ejecución Total 1° Trimestre</t>
  </si>
  <si>
    <t>Ejecución URA 1° Trimestre</t>
  </si>
  <si>
    <t>Ejecución UGG 1° Trimestre</t>
  </si>
  <si>
    <t>Hay un faltante de $279.608.864,00  en la ejecución de la actividad  11300-3-1-18 Recursos con destinación específica porque al cierre del trimestre quedo una cadena presupuestal generada, la cual fue anulada al mes siguiente (motivo de la anulación requerimiento de contabilidad).</t>
  </si>
  <si>
    <t>|</t>
  </si>
  <si>
    <t>% Cumplimiento Marzo</t>
  </si>
  <si>
    <t>% Cumplimiento Acumulado Marzo</t>
  </si>
  <si>
    <t>% Cumplimiento Junio</t>
  </si>
  <si>
    <t>% Cumplimiento Acumulado Junio</t>
  </si>
  <si>
    <t>% Cumplimiento Septiembre</t>
  </si>
  <si>
    <t>% Cumplimiento Acumulado Septiembre</t>
  </si>
  <si>
    <t>% Cumplimiento Diciembre</t>
  </si>
  <si>
    <t>% Cumplimiento Acumulado Diciembre</t>
  </si>
  <si>
    <t>I TRIMESTRE</t>
  </si>
  <si>
    <t>II TRIMESTRE</t>
  </si>
  <si>
    <t>Norela Briceño
Carlos Guzmán 
Marian Batista
Laddy Giraldo
Juan Carlos Borda
Juan Carlos Escobar</t>
  </si>
  <si>
    <t xml:space="preserve">
Directora de Gestión de Recursos Financieros de Salud
Director Administrativo y Financiero
Director de Liquidaciones y Garantías
Director de Otras Prestaciones
Director de Gestión de Tecnologías de la Información y las Comunicaciones
Jefe Oficina Asesora de Planeación y Control de Riesgos
Jefe Oficina de Control Interno
Jefe Oficina Asesora Jurídica
Asesor de Comunicaciones de la Dirección General</t>
  </si>
  <si>
    <t>Comité Institucional de Gestión y Desempeño</t>
  </si>
  <si>
    <t>Se ajustan los valores de las actividades de códigos: 11600-3-2-1 11600-3-3-1 junto con sus metas trimestrales, y de las actividades 11700-2-8-1 y 11700-2-2-6;  y se incluyen las actividades 11600-3-11-1 y 11600-3-12-1. Todo lo anterior,  según memorandos de solicitud de la DGTIC al GIGC sobre modificaciones al Plan Anual de Adquisiciones, de fechas 21/05/2018, 15/06/2018 y 18/06/2018 respectivamente.
Se ajusta la descripción de la actividad 11600-3-1-1 y las metas trimestrales, de acuerdo con la comunicación del 12/04/2018.
Se complementa la descripción de la actividad de Código 11600-3-4-1 y se cambia el código al 11600-3-1-1-5, teniendo en cuenta la integración de los planes institucionales y la solicitud de modificaciones al Plan Anual de Adquisiciones, de fecha 15/06/2018.</t>
  </si>
  <si>
    <t>Director de Gestión de Tecnologías de la Información y las Comunicaciones</t>
  </si>
  <si>
    <t>Norela Briceño
Juan Carlos Escobar</t>
  </si>
  <si>
    <t>Ajuste en el valor de la actividad 11700-2-17-1, dado que se incluyeron $120.000.000 que salen de los recursos del contrato de gestión de correspondencia, mensajería expresa masiva para la Administradora de los Recursos del Sistema de Seguridad Social en Salud-ADRES y de  gestión documental en el archivo de la entidad para la actividad 11700-2-58-1 correspondiente al PINAR.</t>
  </si>
  <si>
    <t>Norela Briceño
Juan Carlos Borda</t>
  </si>
  <si>
    <t>Se definieron las metas del 1° y 3° indicador de la actividad 11200-2-1-1.
Se incluyó la actividad 11600-2-10-1 y el valor asignado a la actividad  11200-2-7-1, por concepto de modificaciones al Plan Anual de Adquisiciones, con fecha de publicación en el SECOP II del 27/06/2018.</t>
  </si>
  <si>
    <t>Asesor de Comunicaciones de la Dirección General</t>
  </si>
  <si>
    <t>Norela Briceño
Johanna Contreras</t>
  </si>
  <si>
    <t>Se ajustan los valores de las actividades de códigos: 11300-3-1-3, 11300-3-1-4, 11300-3-1-5, 11300-3-1-14 y 11300-3-1-15 en concordancia con las Resoluciones 1667 del 3 de mayo de 2018, 1668 del 3 de mayo de 2018 y 2572 del 26 de junio de 2018. De acuerdo con esto, se ajustan las metas trimestrales de estas mismas actividades.</t>
  </si>
  <si>
    <t>Coordinador Grupo de Gestión Presupuestal de la Dirección de Gestión de Recursos Financieros de Salud</t>
  </si>
  <si>
    <t>Norela Briceño
Luz Inés Arboleda</t>
  </si>
  <si>
    <t>Se incluye la actividad 11300/11700-2-1-1 por concepto de modificaciones al Plan Anual de Adquisiciones, con fecha de publicación en el SECOP II del 27/06/2018.</t>
  </si>
  <si>
    <t>Directora de Gestión de Recursos Financieros de Salud
Director Administrativo y Financiero</t>
  </si>
  <si>
    <t xml:space="preserve">Norela Briceño </t>
  </si>
  <si>
    <t>Se desagregó el presupuesto asignado inicialmente en el Plan de Acción a las actividades 11700-2-10-1 y 11700-2-10-2, en las actividades de los Planes Institucionales de Capacitación, Bienestar e Incentivos y Seguridad y Salud en el Trabajo. Por esta misma razón, se ajustó el valor total, y las metas anuales y del tercer y cuarto trimestre de estas mismas actividades.</t>
  </si>
  <si>
    <t>Coordinador Grupo Interno de Gestión del Talento Humano</t>
  </si>
  <si>
    <t>Laddy Giraldo
Norela Briceño</t>
  </si>
  <si>
    <t>Leidy Marcela Beltrán González
Norela Briceño</t>
  </si>
  <si>
    <t>Coordinadora de Gestión Financiera Interna</t>
  </si>
  <si>
    <t>Jefe de la Oficina Asesora Jurídica encargado de la Dirección Administrativa y Financiera</t>
  </si>
  <si>
    <t xml:space="preserve">Grupo Interno de Gestión de Contratación </t>
  </si>
  <si>
    <t>Se reporta el valor pagado al contrato de la vigencia 2018, en lo corrido del Segundo Trimestre.
El contrato fue terminado anticipadamente al 31 de mayo de 2018 y el saldo fue liberado, por lo que se ajusta el valor asignado para el desarrollo de la actividad. </t>
  </si>
  <si>
    <t>Se retiraron $119.000.000 de la actividad 11700-2-23-1 dado que se liberaron estos recursos por terminación anticipada del contrato 067 de 2018, la solicitud del supervisor y la aprobación del Jefe de la Oficina Asesora Jurídica encargado de la Dirección Administrativa y Financiera</t>
  </si>
  <si>
    <t>Mediante resolución 1462 del 19  de abril del 2018 se depuraron 8.185 terceros que corresponden a 15.307 reclamaciones por el valor de  19.946.889.921,88 </t>
  </si>
  <si>
    <t>ANÁLISIS GENERAL DE RESULTADOS</t>
  </si>
  <si>
    <t>Trimestre</t>
  </si>
  <si>
    <t>Análisis</t>
  </si>
  <si>
    <t>II</t>
  </si>
  <si>
    <t>Como aspectos relevantes de la ejecución del Plan de Acción, para mejorar  los resultados en los siguientes trimestres se encuentran:
* La adquisición y actualización del licenciamiento
* La implementación de estrategias, instrumentos y herramientas
* Iniciar el desarrollo de nuevos Sistemas de información
* Realizar la venta de cartera a CISA
* Iniciar la ejecución de los contratos de capacitación y bienestar y Servicio de Centro de Datos / Nube Privada
* Realizar la contratación de:  la auditoria de recobros y reclamaciones y profesionales de apoyo, la estrategia de comunicaciones, la administración y custodia del portafolio de inversión y el soporte a los sistemas de información que respaldan los procesos misionales; dado que son contratos que influyen de manera importante en la ejecución presupuestal por los montos apropiados para éstos.</t>
  </si>
  <si>
    <t>No hubo ejecución presupuestal porque estábamos en Ley de Garantías y no se pudo contratar el realizador d el nueva página web de la ADRES.
El excedente en el índice del indicador se debe a una mayor producción de información que fue divulgada a los medios de comunicación, ya que en la labor de comunicaciones hemos evidenciado mayor oportunidad de temas que pueden ser noticiosos.</t>
  </si>
  <si>
    <t>Se envía correo con copia a la Directora de Gestión de los Recursos Financieros de salud como soporte </t>
  </si>
  <si>
    <t>Link de enlace publicación: https://www.adres.gov.co/Transparencia/Manuales-técnicos</t>
  </si>
  <si>
    <t>La  apropiación se ajusto, teniendo en cuenta  las  Resoluciones 1667 del 03 de mayo de 2018 y la 2372 26 de junio de 2018, a  este concepto se le realizo una adición y un traslado presupuestal.   </t>
  </si>
  <si>
    <t>La  apropiación se ajusto teniendo en cuenta  las  Resoluciones 1668 del 04 de mayo de 2018 y 2572 del 26 de junio de 2018. A este concepto se le realizo una adición presupuestal.</t>
  </si>
  <si>
    <t>Los estados financieros y el informe de operación reciproca están a corte de 31 de Marzo del 2018, la presentación de este informe fue prorrogada mediante resolución 159 de 29 de Mayo del 2018, la cual se adjunta en las Evidencias.</t>
  </si>
  <si>
    <r>
      <t>Dentro de la carpeta Evidencias\I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Adquisición de servidores y switches core. (b) Contratar la prestación del Servicio de Centro de Datos / Nube Privada (Adición). (c) Adquirir servicios de conectividad para la Entidad Administradora de los Recursos del Sistema General de Seguridad Social en Salud (Adición).
(a) </t>
    </r>
    <r>
      <rPr>
        <b/>
        <sz val="10"/>
        <color theme="1"/>
        <rFont val="Verdana"/>
        <family val="2"/>
      </rPr>
      <t>Adquisición de servidores y switches core</t>
    </r>
    <r>
      <rPr>
        <sz val="10"/>
        <color theme="1"/>
        <rFont val="Verdana"/>
        <family val="2"/>
      </rPr>
      <t>. 
Se escala con la Dirección Administrativa y Financiera, para validar incluir el switch core dentro del canon de arrendamiento, dado que no se puede referenciar marcas y se requiere tener un switch core de la misma marca y referencia, para garantizar la redundancia y alta disponibilidad.
(b) </t>
    </r>
    <r>
      <rPr>
        <b/>
        <sz val="10"/>
        <color theme="1"/>
        <rFont val="Verdana"/>
        <family val="2"/>
      </rPr>
      <t>Contratar la prestación del Servicio de Centro de Datos / Nube Privada (Adición)</t>
    </r>
    <r>
      <rPr>
        <sz val="10"/>
        <color theme="1"/>
        <rFont val="Verdana"/>
        <family val="2"/>
      </rPr>
      <t xml:space="preserve">.
</t>
    </r>
    <r>
      <rPr>
        <sz val="10"/>
        <rFont val="Verdana"/>
        <family val="2"/>
      </rPr>
      <t>El proveedor radicó las facturas correspondientes a los meses de Enero y Febrero del contrato 0059 del 2017, las cuales no ha sido posible cancelar por motivos de que no se encontraba incluido el IVA del 19% en la orden de compra, para amparar la aplicación del IVA en los servicios prestados por el proveedor.</t>
    </r>
    <r>
      <rPr>
        <sz val="10"/>
        <color rgb="FFFF0000"/>
        <rFont val="Verdana"/>
        <family val="2"/>
      </rPr>
      <t xml:space="preserve">
</t>
    </r>
    <r>
      <rPr>
        <sz val="10"/>
        <color theme="1"/>
        <rFont val="Verdana"/>
        <family val="2"/>
      </rPr>
      <t xml:space="preserve">
Las evidencias se encuentran en Evidencias\I trimestre\11600-3-2-1\Nube Privada, de donde: 
Carta de justificación de adición del IVA al contrato 0059 del 2017 (Justificación Adicion.pdf)
El mes de enero (INFORME ENERO 2018 - Nube Privada.pdf y Factura mes Enero). 
El mes de febrero (INFORME FEBRERO 2018 - Nube Privada.pdf y Factura mes Febrero). 
Finalmente, para el mes de marzo No han radicado factura de cobro de dicho mes.
</t>
    </r>
    <r>
      <rPr>
        <b/>
        <sz val="10"/>
        <color theme="1"/>
        <rFont val="Verdana"/>
        <family val="2"/>
      </rPr>
      <t>(c) Adquirir servicios de conectividad para la Entidad Administradora de los Recursos del Sistema General de Seguridad Social en Salud (Adición).</t>
    </r>
    <r>
      <rPr>
        <sz val="10"/>
        <color theme="1"/>
        <rFont val="Verdana"/>
        <family val="2"/>
      </rPr>
      <t xml:space="preserve">
Se tiene la relación con el proveedor Century Link  Inicia Actividades el día 11 de Abril de 2017 bajo el contrato 0048 de 2017.
Las evidencias se encuentran en Evidencias\I trimestre\11600-3-2-1\Conectividad, de donde: 
El mes de enero (INFORME ENERO 2018 - Conectividad.pdf) la factura fue aprobada en el mes de abril
El mes de Febrero (INFORME FEBRERO 2018 -Conectividad.pdf) a factura fue aprobada en el mes de abril
Finalmente, para el mes de marzo No han radicado factura de dicho mes.
</t>
    </r>
    <r>
      <rPr>
        <b/>
        <sz val="10"/>
        <color theme="1"/>
        <rFont val="Verdana"/>
        <family val="2"/>
      </rPr>
      <t>ACLARACIÓN SOBRE LA EJECUCIÓN DE LA ACTIVIDAD</t>
    </r>
    <r>
      <rPr>
        <sz val="10"/>
        <color theme="1"/>
        <rFont val="Verdana"/>
        <family val="2"/>
      </rPr>
      <t>: Esta actividad para este trimestre tenía presupuestado ejecutar $ 670.725.074 pesos y hasta el 31/03/2018 no se ha ejecutado (pagado).</t>
    </r>
  </si>
  <si>
    <r>
      <t>Dentro de la carpeta</t>
    </r>
    <r>
      <rPr>
        <b/>
        <sz val="10"/>
        <color theme="1"/>
        <rFont val="Verdana"/>
        <family val="2"/>
      </rPr>
      <t xml:space="preserve"> Evidencias\I trimestre\11600-3-7-1</t>
    </r>
    <r>
      <rPr>
        <sz val="10"/>
        <color theme="1"/>
        <rFont val="Verdana"/>
        <family val="2"/>
      </rPr>
      <t xml:space="preserve"> se encuentra la evidencia de los pagos realizados frente a esta actividad. Tener en cuenta las siguientes consideraciones:
(i) Se tiene la relación de un contratista  John Edwin Rodriguez Sanchez. Inicia Actividades el día 11 de enero de 2018 bajo el contrato 0012 de 2018.
Las evidencias se encuentran en </t>
    </r>
    <r>
      <rPr>
        <b/>
        <sz val="10"/>
        <color theme="1"/>
        <rFont val="Verdana"/>
        <family val="2"/>
      </rPr>
      <t>Evidencias\I trimestre\11600-3-7-1\John Edwin Rodríguez Sánchez</t>
    </r>
    <r>
      <rPr>
        <sz val="10"/>
        <color theme="1"/>
        <rFont val="Verdana"/>
        <family val="2"/>
      </rPr>
      <t xml:space="preserve">, de donde: 
El mes de diciembre 2017 (INFORME DICIEMBRE 2017.pdf), el cual ya es encuentra </t>
    </r>
    <r>
      <rPr>
        <b/>
        <sz val="10"/>
        <color theme="1"/>
        <rFont val="Verdana"/>
        <family val="2"/>
      </rPr>
      <t>pago.</t>
    </r>
    <r>
      <rPr>
        <sz val="10"/>
        <color theme="1"/>
        <rFont val="Verdana"/>
        <family val="2"/>
      </rPr>
      <t xml:space="preserve">
El mes de enero (JOHN RODRIGUEZ  ENERO 2018.pdf), el cual ya se encuentra </t>
    </r>
    <r>
      <rPr>
        <b/>
        <sz val="10"/>
        <color theme="1"/>
        <rFont val="Verdana"/>
        <family val="2"/>
      </rPr>
      <t>pago</t>
    </r>
    <r>
      <rPr>
        <sz val="10"/>
        <color theme="1"/>
        <rFont val="Verdana"/>
        <family val="2"/>
      </rPr>
      <t xml:space="preserve">. 
El mes de Febrero (JOHN RODRIGUEZ  FEBRERO 2018.pdf) ya se encuentra </t>
    </r>
    <r>
      <rPr>
        <b/>
        <sz val="10"/>
        <color theme="1"/>
        <rFont val="Verdana"/>
        <family val="2"/>
      </rPr>
      <t>pago</t>
    </r>
    <r>
      <rPr>
        <sz val="10"/>
        <color theme="1"/>
        <rFont val="Verdana"/>
        <family val="2"/>
      </rPr>
      <t xml:space="preserve">. 
Finalmente, para el mes de marzo (JOHN RODRIGUEZ  MARZO 2018.pdf)  se encuentra </t>
    </r>
    <r>
      <rPr>
        <b/>
        <sz val="10"/>
        <color theme="1"/>
        <rFont val="Verdana"/>
        <family val="2"/>
      </rPr>
      <t>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$ 12.240.000 y hasta el momento se ha ejecutado (pagado) $10,880.000 + radicado mes de marzo (en proceso de pago) $4,080.000. 
Se tiene un valor ejecutado de $10.880.000 dando una diferencia de $1.380.000, la cual es producto de la fecha en la cual se firmó el contrato del contratista. 
Por tal razón, hasta el momento se tiene un 88,89% de la ejecución del presupuesto asignado para está actividad en este trimestre.</t>
    </r>
  </si>
  <si>
    <r>
      <t xml:space="preserve">Dentro de la carpeta </t>
    </r>
    <r>
      <rPr>
        <b/>
        <sz val="10"/>
        <color theme="1"/>
        <rFont val="Verdana"/>
        <family val="2"/>
      </rPr>
      <t xml:space="preserve">Evidencias\I trimestre\11600-3-8-1 </t>
    </r>
    <r>
      <rPr>
        <sz val="10"/>
        <color theme="1"/>
        <rFont val="Verdana"/>
        <family val="2"/>
      </rPr>
      <t xml:space="preserve">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(ii) </t>
    </r>
    <r>
      <rPr>
        <b/>
        <sz val="10"/>
        <color theme="1"/>
        <rFont val="Verdana"/>
        <family val="2"/>
      </rPr>
      <t>William Andrés Páez</t>
    </r>
    <r>
      <rPr>
        <sz val="10"/>
        <color theme="1"/>
        <rFont val="Verdana"/>
        <family val="2"/>
      </rPr>
      <t xml:space="preserve">. Inicia Actividades el día 11 de enero de 2018 bajo el contrato 0015 de 2018.
Las evidencias se encuentran en </t>
    </r>
    <r>
      <rPr>
        <b/>
        <sz val="10"/>
        <color theme="1"/>
        <rFont val="Verdana"/>
        <family val="2"/>
      </rPr>
      <t>Evidencias\I trimestre\11600-3-8-1\William Andrés Páez</t>
    </r>
    <r>
      <rPr>
        <sz val="10"/>
        <color theme="1"/>
        <rFont val="Verdana"/>
        <family val="2"/>
      </rPr>
      <t xml:space="preserve">, de donde: 
El mes de diciembre 2017 (Informe de actividades Diciembre 2017 - William Andrés Paez.pdf), el cual ya es encuentra </t>
    </r>
    <r>
      <rPr>
        <b/>
        <sz val="10"/>
        <color theme="1"/>
        <rFont val="Verdana"/>
        <family val="2"/>
      </rPr>
      <t>pago</t>
    </r>
    <r>
      <rPr>
        <sz val="10"/>
        <color theme="1"/>
        <rFont val="Verdana"/>
        <family val="2"/>
      </rPr>
      <t xml:space="preserve">.
El mes de enero (INFORME ENERO 2018 - WILLIAM ANDRES PAEZ .pdf), el cual ya se encuentra </t>
    </r>
    <r>
      <rPr>
        <b/>
        <sz val="10"/>
        <color theme="1"/>
        <rFont val="Verdana"/>
        <family val="2"/>
      </rPr>
      <t>pago.</t>
    </r>
    <r>
      <rPr>
        <sz val="10"/>
        <color theme="1"/>
        <rFont val="Verdana"/>
        <family val="2"/>
      </rPr>
      <t xml:space="preserve"> 
El mes de Febrero (INFORME FEBRERO 2018 - WILLIAM ANDRES PAEZ.pdf) ya se encuentra </t>
    </r>
    <r>
      <rPr>
        <b/>
        <sz val="10"/>
        <color theme="1"/>
        <rFont val="Verdana"/>
        <family val="2"/>
      </rPr>
      <t>pago.</t>
    </r>
    <r>
      <rPr>
        <sz val="10"/>
        <color theme="1"/>
        <rFont val="Verdana"/>
        <family val="2"/>
      </rPr>
      <t xml:space="preserve"> 
Finalmente, para el mes de marzo (INFORME MARZO 2018 - WILLIAM ANDRES PAEZ.pdf) el cual se encuentra</t>
    </r>
    <r>
      <rPr>
        <b/>
        <sz val="10"/>
        <color theme="1"/>
        <rFont val="Verdana"/>
        <family val="2"/>
      </rPr>
      <t xml:space="preserve"> Radicada la cuenta</t>
    </r>
    <r>
      <rPr>
        <sz val="10"/>
        <color theme="1"/>
        <rFont val="Verdana"/>
        <family val="2"/>
      </rPr>
      <t xml:space="preserve">.
(iii) </t>
    </r>
    <r>
      <rPr>
        <b/>
        <sz val="10"/>
        <color theme="1"/>
        <rFont val="Verdana"/>
        <family val="2"/>
      </rPr>
      <t>Sergio Luis Antonio Garcia</t>
    </r>
    <r>
      <rPr>
        <sz val="10"/>
        <color theme="1"/>
        <rFont val="Verdana"/>
        <family val="2"/>
      </rPr>
      <t xml:space="preserve">. Inicia Actividades el día 11 de enero de 2018 bajo el contrato 0016 de 2018.
El mes de diciembre 2017 (Informe Diciembre SERGIO LUIS ANTONIO GARCIA.pdf), el cual ya es encuentra </t>
    </r>
    <r>
      <rPr>
        <b/>
        <sz val="10"/>
        <color theme="1"/>
        <rFont val="Verdana"/>
        <family val="2"/>
      </rPr>
      <t>pago.</t>
    </r>
    <r>
      <rPr>
        <sz val="10"/>
        <color theme="1"/>
        <rFont val="Verdana"/>
        <family val="2"/>
      </rPr>
      <t xml:space="preserve">
El mes de enero (INFORME ENERO SERGIO LUIS ANTONIO GARCIA.pdf), el cual ya se encuentra </t>
    </r>
    <r>
      <rPr>
        <b/>
        <sz val="10"/>
        <color theme="1"/>
        <rFont val="Verdana"/>
        <family val="2"/>
      </rPr>
      <t>pago.</t>
    </r>
    <r>
      <rPr>
        <sz val="10"/>
        <color theme="1"/>
        <rFont val="Verdana"/>
        <family val="2"/>
      </rPr>
      <t xml:space="preserve"> 
El mes de Febrero (INFORME FEBRERO SERGIO LUIS ANTONIO GARCIA.pdf) ya se encuentra </t>
    </r>
    <r>
      <rPr>
        <b/>
        <sz val="10"/>
        <color theme="1"/>
        <rFont val="Verdana"/>
        <family val="2"/>
      </rPr>
      <t>pago.</t>
    </r>
    <r>
      <rPr>
        <sz val="10"/>
        <color theme="1"/>
        <rFont val="Verdana"/>
        <family val="2"/>
      </rPr>
      <t xml:space="preserve"> 
Finalmente, para el mes de marzo (INFORME MARZO SERGIO LUIS ANTONIO GARCIA.pdf) el cual se encuentra</t>
    </r>
    <r>
      <rPr>
        <b/>
        <sz val="10"/>
        <color theme="1"/>
        <rFont val="Verdana"/>
        <family val="2"/>
      </rPr>
      <t xml:space="preserve"> Radicada la cuenta.</t>
    </r>
    <r>
      <rPr>
        <sz val="10"/>
        <color theme="1"/>
        <rFont val="Verdana"/>
        <family val="2"/>
      </rPr>
      <t xml:space="preserve">
(iv) </t>
    </r>
    <r>
      <rPr>
        <b/>
        <sz val="10"/>
        <color theme="1"/>
        <rFont val="Verdana"/>
        <family val="2"/>
      </rPr>
      <t>Andrés Bruce</t>
    </r>
    <r>
      <rPr>
        <sz val="10"/>
        <color theme="1"/>
        <rFont val="Verdana"/>
        <family val="2"/>
      </rPr>
      <t>. Inicia Actividades el día 11 de enero de 2018 bajo el contrato 0017 de 2018.
Las evidencias se encuentran en</t>
    </r>
    <r>
      <rPr>
        <b/>
        <sz val="10"/>
        <color theme="1"/>
        <rFont val="Verdana"/>
        <family val="2"/>
      </rPr>
      <t xml:space="preserve"> Evidencias\I trimestre\11600-3-8-1\ Andrés Bruce</t>
    </r>
    <r>
      <rPr>
        <sz val="10"/>
        <color theme="1"/>
        <rFont val="Verdana"/>
        <family val="2"/>
      </rPr>
      <t xml:space="preserve">, de donde: 
El mes de diciembre 2017 (informe DICIEMBRE ANDRES GUILLERMO BRUCE RUIZ.pdf), el cual ya es encuentra pago.
El mes de enero (Soportes Pago Enero 2018_Andres Bruce_DGTIC-BDUA.pdf), el cual ya se encuentra </t>
    </r>
    <r>
      <rPr>
        <b/>
        <sz val="10"/>
        <color theme="1"/>
        <rFont val="Verdana"/>
        <family val="2"/>
      </rPr>
      <t>pago.</t>
    </r>
    <r>
      <rPr>
        <sz val="10"/>
        <color theme="1"/>
        <rFont val="Verdana"/>
        <family val="2"/>
      </rPr>
      <t xml:space="preserve"> 
El mes de Febrero (Soportes Pago Febrero 2018_Andres Bruce_DGTIC-BDUA.pdf) ya se encuentra </t>
    </r>
    <r>
      <rPr>
        <b/>
        <sz val="10"/>
        <color theme="1"/>
        <rFont val="Verdana"/>
        <family val="2"/>
      </rPr>
      <t>pago.</t>
    </r>
    <r>
      <rPr>
        <sz val="10"/>
        <color theme="1"/>
        <rFont val="Verdana"/>
        <family val="2"/>
      </rPr>
      <t xml:space="preserve"> 
Finalmente, para el mes de marzo (Soportes Pago Marzo 2018_Andres Bruce_DGTIC-BDUA.pdf) el cual se encuentra</t>
    </r>
    <r>
      <rPr>
        <b/>
        <sz val="10"/>
        <color theme="1"/>
        <rFont val="Verdana"/>
        <family val="2"/>
      </rPr>
      <t xml:space="preserve"> 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$ 36.720.000 y hasta el momento se ha ejecutado (pagado) $32.640.000 + radicado mes de marzo (en proceso de pago) $12,240.000. Se tiene un valor ejecutado de $32.640.000 dando una diferencia de $4.080.000, la cual es producto de la fecha en la cual se firmó el contrato de cada uno de los contratistas. Por tal razón hasta el momento se tiene un 88,89% de la ejecución del presupuesto asignado para está actividad en este trimestre.</t>
    </r>
  </si>
  <si>
    <t>Dentro de la carpeta Evidencias\II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 trimestre\11600-3-8-1\William Andrés Páez, de donde: 
• El mes de marzo (INFORME 032018 - WILLIAM ANDRES PAEZ.pdf), Radicado en el seguimiento anterior, pero al corte de dicha revisión no se había cancelado, Actualmente se encuentra cancelada.
• El mes de abril (INFORME 042018 - WILLIAM ANDRES PAEZ.pdf), Se encuentra actualmente pago.
• El mes de mayo (INFORME 052018 - WILLIAM ANDRES PAEZ.pdf), Se encuentra actualmente pago.
• El mes de junio (INFORME 062018 - WILLIAM ANDRES PAEZ.pdf), Se encuentra actualmente radicado.
2. Sergio Luis Antonio García. Inicia Actividades el día 11 de enero de 2018 bajo el contrato 0016 de 2018. Las evidencias se encuentran en Evidencias\II trimestre\11600-3-8-1\ Sergio Luis Antonio García, de donde: 
• El mes de marzo (INFORME 201803 SERGIO LUIS ANTONIO GARCIA.pdf), Radicado en el seguimiento anterior, pero al corte de dicha revisión no se había cancelado, Actualmente se encuentra cancelada.
• El mes de abril (INFORME 201804 SERGIO LUIS ANTONIO GARCIA.pdf), Se encuentra actualmente pago.
• El mes de mayo (INFORME 201805 SERGIO LUIS ANTONIO GARCIA.pdf), Se encuentra actualmente pago.
• El mes de junio (INFORME 201806 SERGIO LUIS ANTONIO GARCIA.pdf), Se encuentra actualmente radicado.
3. Andrés Bruce. Inicia Actividades el día 11 de enero de 2018 bajo el contrato 0017 de 2018.Las evidencias se encuentran en Evidencias\I trimestre\11600-3-8-1\Andrés Guillermo Bruce, de donde: 
• El mes de marzo (Soportes Pago 03 2018_Andres Bruce_DGTIC-BDUA.pdf), Radicado en el seguimiento anterior, pero al corte de dicha revisión no se había cancelado, Actualmente se encuentra cancelada.
• El mes de abril (Soportes Pago 04 2018_Andres Bruce_DGTIC-BDUA.pdf), Se encuentra actualmente pago.
• El mes de mayo (Soportes Pago 05 2018_Andres Bruce_DGTIC-BDUA.pdf), Se encuentra actualmente pago.
• El mes de junio (Soportes Pago 06 2018_Andres Bruce_DGTIC-BDUA.pdf), Se encuentra actualmente radicado.
ACLARACIÓN SOBRE LA EJECUCIÓN DE LA ACTIVIDAD.
Esta actividad para este trimestre tenía presupuestado ejecutar $ 36.720.000 y se ha ejecutado (pagado) $36.720.000 + radicado mes de junio (en proceso de pago) $12,240.000.  Es importante aclarar que, aunque el 100% del valor proyectado se ha ejecutado, se tienen $12,240.000 que corresponden a la radicación del mes de marzo y que se relacionan en el presente mes, ya que en el anterior corte no habían sido pagados por parte de la Entidad. Por consiguiente, se tiene un 100% de la ejecución del presupuesto asignado para esta actividad en este trimestre.</t>
  </si>
  <si>
    <t>Dentro de la carpeta Evidencias\I trimestre\11600-3-9-1 se encuentra la evidencia de los pagos realizados frente a esta actividad. Tener en cuenta las siguientes consideraciones:
(i) Se tiene la relación de tres contratistas: (a) Manuel Alejandro Peña Vargas. (b) Jorge Arturo Suarez Isaza (c) Yuly Margoth Otalora Bernal, para lo cual se ha puesto una carpeta con el nombre de cada uno de ellos.
(ii) Manuel Alejandro Peña Vargas. Inicia Actividades el día 11 de Enero de 2018 bajo el contrato 0024 de 2018.
Las evidencias se encuentran en Evidencias\I trimestre\11600-3-9-1\ Manuel Alejandro Peña Vargas,  de donde:
El mes de diciembre 2018 (GCON-F01_Informe de Cumplimiento de Avance de Obligaciones Contractuales y Pago.pdf), el cual ya se encuentra pago. 
El mes de enero (Informe parcial 1-Contrato 0024_2018 .pdf), el cual ya se encuentra pago. 
El mes de Febrero (Informe parcial 2-Contrato 0024_2018.pdf) ya se encuentra pago. 
Finalmente, para el mes de marzo (Informe parcial 3-Contrato 0024_2018.pdf) el cual se encuentra Radicada la cuenta.
(iii) Jorge Arturo Suarez Isaza. Inicia Actividades el día 11 de enero de 2018 bajo el contrato 0019 de 2018.
Las evidencias se encuentran en Evidencias\I trimestre\11600-3-9-1\  Jorge Arturo Suarez Isaza,  de donde:
El mes de enero (Jorge Suarez 2017Dic .pdf), el cual ya se encuentra pago. 
El mes de enero (Informe Supervisión Enero 2018 JORGE SUAREZ .pdf), el cual ya se encuentra pago. 
El mes de Febrero (Informe Supervisión Febrero 2018 JORGE SUAREZ.pdf) ya se encuentra pago. 
Finalmente, para el mes de marzo (Informe Supervisión Marzo 2018 JORGE SUAREZ.pdf) el cual se encuentra Radicada la cuenta.
(iv) Yuly Margoth Otalora Bernal. Inicia Actividades el día 01 de Febrero de 2018 bajo el contrato 0068 de 2018.
Las evidencias se encuentran en Evidencias\I trimestre\11600-3-9-1\Yuly Margoth Otalora Bernal,  de donde:
Mes de Febrero (1_GCON-F01_Informe de Cumplimiento de Avance de Obligaciones Contractual_022018.pdf), el cual ya se encuentra pago. 
Mes de marzo  (1_GCON-F01_Informe de Cumplimiento de Avance de Obligaciones Contractual_032018.pdf) el cual se encuentra Radicada la cuenta.
ACLARACIÓN SOBRE LA EJECUCIÓN DE LA ACTIVIDAD: Teniendo en cuenta que dentro de esta actividad para este trimestre se tenía presupuestado ejecutar $144.044.517 y hasta el momento se ha ejecutado (pagado) $ 25,139.012 + radicado mes de marzo (en proceso de pago) $12,590,407. 
Se tiene un valor ejecutado de $25,139,012 dando una diferencia de $118,905,505, el cual es producto de: (i)  la fecha en la cual se firmó el contrato de cada uno de los contratistas. (ii) No se ha podido contratar todos los contratistas que se tenían presupuestados; ya que dentro de este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17,45% de la ejecución del presupuesto asignado para está actividad en este trimestre.</t>
  </si>
  <si>
    <r>
      <t>Dentro de la carpeta </t>
    </r>
    <r>
      <rPr>
        <b/>
        <sz val="10"/>
        <rFont val="Verdana"/>
        <family val="2"/>
      </rPr>
      <t>Evidencias\I trimestre\11600-3-10-1 </t>
    </r>
    <r>
      <rPr>
        <sz val="10"/>
        <rFont val="Verdana"/>
        <family val="2"/>
      </rPr>
      <t xml:space="preserve">se encuentra la evidencia de los pagos realizados frente a esta actividad. Tener en cuenta las siguientes consideraciones:
(i) El proveedor es </t>
    </r>
    <r>
      <rPr>
        <b/>
        <sz val="10"/>
        <rFont val="Verdana"/>
        <family val="2"/>
      </rPr>
      <t xml:space="preserve">PC COM SA </t>
    </r>
    <r>
      <rPr>
        <sz val="10"/>
        <rFont val="Verdana"/>
        <family val="2"/>
      </rPr>
      <t xml:space="preserve">y la prestación del servicio se da bajo el contrato </t>
    </r>
    <r>
      <rPr>
        <i/>
        <sz val="10"/>
        <rFont val="Verdana"/>
        <family val="2"/>
      </rPr>
      <t>0050 de 2017</t>
    </r>
    <r>
      <rPr>
        <sz val="10"/>
        <rFont val="Verdana"/>
        <family val="2"/>
      </rPr>
      <t xml:space="preserve"> teniendo como </t>
    </r>
    <r>
      <rPr>
        <i/>
        <sz val="10"/>
        <rFont val="Verdana"/>
        <family val="2"/>
      </rPr>
      <t>vigencia 07/04/2017 hasta el 31/12/2018</t>
    </r>
    <r>
      <rPr>
        <sz val="10"/>
        <rFont val="Verdana"/>
        <family val="2"/>
      </rPr>
      <t>.
(ii) Las cuentas de cobro o facturas de estos tres meses se encuentran radicadas y revisadas por el supervisor del contrato.
(iiI) Las cuentas de cobro  o facturas del mes de enero se encuentra </t>
    </r>
    <r>
      <rPr>
        <b/>
        <sz val="10"/>
        <rFont val="Verdana"/>
        <family val="2"/>
      </rPr>
      <t>Pagada</t>
    </r>
    <r>
      <rPr>
        <sz val="10"/>
        <rFont val="Verdana"/>
        <family val="2"/>
      </rPr>
      <t>. se anexa informe de supervisor (Pago Enero.pdf)
(iv) Las cuentas de cobro  o facturas del mes de Febrero se encuentra </t>
    </r>
    <r>
      <rPr>
        <b/>
        <sz val="10"/>
        <rFont val="Verdana"/>
        <family val="2"/>
      </rPr>
      <t>Pagada</t>
    </r>
    <r>
      <rPr>
        <sz val="10"/>
        <rFont val="Verdana"/>
        <family val="2"/>
      </rPr>
      <t>. se anexa informe de supervisor (Pago Febrero 2018.pdf - Pago Febrero 2018 Firma.pdf)
(v) Finalmente, para el mes de marzo el proveedor no ha radicado factura de cobro de dicho mes.</t>
    </r>
    <r>
      <rPr>
        <b/>
        <sz val="10"/>
        <color rgb="FFFF0000"/>
        <rFont val="Verdana"/>
        <family val="2"/>
      </rPr>
      <t xml:space="preserve">
</t>
    </r>
    <r>
      <rPr>
        <b/>
        <sz val="10"/>
        <rFont val="Verdana"/>
        <family val="2"/>
      </rPr>
      <t>ACLARACIÓN SOBRE LA EJECUCIÓN DE LA ACTIVIDAD</t>
    </r>
    <r>
      <rPr>
        <sz val="10"/>
        <rFont val="Verdana"/>
        <family val="2"/>
      </rPr>
      <t xml:space="preserve">: En esta actividad para este trimestre se tenía presupuestado ejecutar $184.372.055 y hasta el momento se ha ejecutado (pagado) $ 104.998.460. Por tal razón hasta el momento se tiene un 56,95% de la ejecución del presupuesto asignado para está actividad en este trimestre.  </t>
    </r>
  </si>
  <si>
    <t>La planilla de la Nómina correspondiente al mes de Junio de 2018 se pagó en el mes de Julio por $335.709.100 y FNA por $93.631.304 y  la diferencia corresponde a  que la planta de personal no se ha provisto en su totalidad.
Ya se asocio a este indicador, lo pertinente a  servicios personales asociado a la nómina por $2.002.739 según resolución 860 de 2018,</t>
  </si>
  <si>
    <t>EL 29 de Junio de 2018, se presentó ante la CGN el informe Correspondiente al 1ª trimestre de 2018</t>
  </si>
  <si>
    <t>De las 324  cuentas de cobro y pago de proveedores y funcionarios se cancelaron 324, mas las 2 cuentas de cobro no canceladas en el primer trimestre que rechazó en el portal bancario de Davivienda por error en No de Cuenta Bancaria asignada a los terceros.
En el reporte de pagos por tercero, que constituye la evidencia de esta actividad, cada cuenta de cobro se identifica con un número de orden de giro independiente.</t>
  </si>
  <si>
    <t>Se reporta en acumulado el número de las constancias de archivo y las actas de liquidación tramitadas frente a los contratos terminados en Vigencia 2017 y 2018. La certificación aportada como evidencia es complemento a la enviada para el Primer Trimestre donde se refleja las novedades de este proceso. No se cuenta 1 liquidación suscrita en el mes de julio ésta será reportada en el siguiente trimestre.</t>
  </si>
  <si>
    <t xml:space="preserve">Se realizaron  siete capacitaciones durante el segundo trimestre trimestre  del 2018,  los cuales,  fueron desarrolladas para los  funcionarios de la Entidad sin ningún gasto. 
1. Capacitación  de Excel intermedio dictada por  SENA.
2. Capacitación gestión  preventiva disciplinaria dictada por control interno disciplinario ADRES
3. Capacitación de Excel  avanzado dictado por el SENA.
4. Capacitación ley de transparencia dictada por la Presidencia de la Republica.
5. Capacitación  coaching de resultados  dictado por Porvenir
6. Capacitación  prevención y control de fuego  y postevacuación dictada por Positiva 
7. capacitación asesoría legal comité  de convivencia  de  ética dictada por Positiva. 
8. Capacitación Excel  avanzado  dictado por el SENA.
</t>
  </si>
  <si>
    <t>Se realizaron  diez actividades  de bienestar  durante el segundo trimestre  del 2018,  los cuales,  fueron desarrolladas para los  funcionarios de la Entidad sin ningún gasto. 1. MASAJES ANTIESTRES
2. RUMBOTERAPIA 
3. SHOW DE TITERES
4. KICKBOXING
5. ALIMENTOS SALUDABLES
6. TALLER DE CATARSIS
7. BIMBO
8. CAMPEONATO TENNIS DE MESA
9. DIA DEL PADRE
10. PARTIDOS DE COLOMBIA EN EL MUNDIAL DE FUTBOL</t>
  </si>
  <si>
    <t>Aunque se esta realizando   el  objetivo no se está contratando por que  hay una persona  de planta que  esta  realizado la  acción  planteada.  En el periodo  se realizaron  actividades  como:  administración  de  la custodia de las hojas de vida  de los  funcionarios públicos,  la cual  se  ha  evidenciado  con el  avance de del  archivo físico existente a la fecha.</t>
  </si>
  <si>
    <t>Falta incluir la ejecución presupuestal del mes de marzo, dado que a pesar de los requerimientos, no han radicado factura. Se incluye ejecución del mes de diciembre, con pago en el mes de enero del contrato. De otra parte se informa que de acuerdo al contrato realizado a través de Colombia compra eficiente, mediante acuerdo marco de precios, Centro de Contacto, se estableció que el Nivel de Servicio será de 70/30 es decir el 70% de las llamadas se atenderán antedes de 30 segundos; y el Nivel de atención 95/5, es decir que se deben atender el 95% de todas las llamadas entrantes. Debido al no cubrimiento del ANS, el comité directivo de la entidad aprobó la modificación del horario de atención de la línea que se encontraba dispuesta 7 días a la semana, 24 horas al día y se modificó para atender en el horario de lunes a viernes de 7:00 a.m. a 6:00 p.m. y sábados de 8:00 a.m. a 1:00 p.m. en jornada continua. el puesto de trabajo en el horario festivos domingos y horario nocturno, al eliminarlo de este horario representó incrementar la línea en tres agentes durante el nuevo horario de atención.</t>
  </si>
  <si>
    <t>Se incluye la ejecución presupuestal del mes de marzo, dado que no fue incluida en el trimestre pasado por que a la fecha de realización del Plan de Acción, no se había radicado la cuenta de cobro. No se incluye el pago del mes de junio, pues a la fecha no se ha presentado la cuenta de cobro del respectivo mes. Para este período mejoraron los ANS con la modificación de los horarios de atención del callcenter.</t>
  </si>
  <si>
    <t>Deconfiormidad con lo establecido en el contrato, CENTRAL DE INVERSIONES S.A. - CISA S.A.,  presento ajuste al precio mediante comunicación RAD. 000005007500 del 27 de febrero.  
ADRES envía a través de la comunicación rad. 000005007500 del 22 de marzo del 2018 presentó respuesta a la solicitud de ajuste.
Nuevamente CENTRAL DE INVERSIONES S.A. - CISA S.A.,mediante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</si>
  <si>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t>Deconfiormidad con lo establecido en el contrato, CENTRAL DE INVERSIONES S.A. - CISA S.A.,  presento ajuste al precio mediante comunicación RAD. 000005007500 del 27 de febrero.  
ADRES envía a través de la comunicación rad. 000005007500 del 22 de marzo del 2018 presentó Presentó respuesta a la solicitud de ajuste.
Nuevamente CENTRAL DE INVERSIONES S.A. - CISA S.A.,mediante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</si>
  <si>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r>
      <t xml:space="preserve">La versión preliminar del Informe al Congreso, enviada al Ministerio de Salud y Protección Social en el mes de marzo, fue consolidada por ese ministerio y se mantiene hasta la fecha. De acuerdo con el cronograma establecido para su elaboración, se espera su publicación por parte del ministerio en el mes de julio. Las respectivas evidencias se encuentran en la ruta: </t>
    </r>
    <r>
      <rPr>
        <u/>
        <sz val="10"/>
        <color theme="4"/>
        <rFont val="Verdana"/>
        <family val="2"/>
      </rPr>
      <t>ONE DRIVE\ADRES\PLAN DE ACCION\DIRECCIÓN GENERAL\OFICINA ASESORA DE PLANEACIÓN Y CONTROL DE RIESGOS\Evidencias\II Trimestre\12000-2-3-1.</t>
    </r>
  </si>
  <si>
    <t>Se expidieron 1.261 actos administrativos ordenando el cobro de reclamaciones reconocidas y pagadas por el entonces FOSYGA hoy ADRES en relación con accidentes de transito cuyo vehículo involucrado carecía de seguro obligatoria SOAT.</t>
  </si>
  <si>
    <t>Se identifico 60  actos administrativos ejecutoriados con mas de 180 días de vencidos, para adelantar el procedimiento de Cobro Coactivo propiamente dicho durante el siguiente trimestre.</t>
  </si>
  <si>
    <t>Ese es el apoyo técnico para el nuevo portal y administración del SharePoint
Al momento del presente seguimiento no se ha realizado contrato, ni pago alguno frente al proveedor.
Dentro de la carpeta Evidencias\II trimestre\11600-3-12-1 se almacena (i) Estudios previos Ingeniero SharePoint. (ii)  Copia CDP 134 de 2018.</t>
  </si>
  <si>
    <t xml:space="preserve">1. La ejecución presupuestal acumulada de la UGG va en el 29%. Lo anterior, dado que:
i) no se han ejecutado recursos presupuestados para sentencias y conciliaciones; 
ii) el presupuesto disponible para contratos y gastos que por honorarios y/o remuneración de servicios técnicos se requieran según las necesidades de la ADRES, los cuales aún no están identificados, asciende a $9.619.731.854; 
iii) no ha iniciado la ejecución de los recursos apropiados para capacitación, bienestar, desarrollo de nuevos sistemas de información, ejercer la representación judicial, contestación y seguimiento de trámite del recurso extraordinario de casación para las sentencias que resulten adveras a la ADRES
iv) los recursos apropiados para viáticos y gastos de viaje, gestión de correspondencia, publicaciones en diario oficial, brindar Soporte a los sistemas de información que respaldan los procesos misionales de ADRES, atender las reclamaciones administrativas radicadas por las EPS o IPS, interponer oportunamente los recursos de Ley contra los actos administrativos de Colpensiones que ordenan la devolución de aportes a la ADRES, el trámite de solicitudes de embargos, los conceptos jurídicos, los gastos varios de representación judicial, la entrega de apoyos técnicos a la OAJ en recobros y reclamaciones una vez son resueltos por la Dirección de Tecnología de la Información y el convenio Café salud, han presentado ejecuciones inferiores al 50% de lo proyectado. 
v) No se ha contratado la estrategia de comunicación y marketing de la ADRES,  la administración y custodia del portafolio de inversión, ni la vigilancia judicial.
2. La ejecución presupuestal acumulada de la URA va en el 52%. Al respecto vale la pena mencionar que no se han ejecutado los recursos apropiados para los rubros: Rendimientos Financieros saldo de Aportes Patronales no compensados - Art, 12 Decreto 1363 de 2016, Fortalecimiento red de urgencias nacional, emergencias sanitarias y eventos catastróficos, FONSAET y Fortalecimientos Patrimonial a las Entidades del Sector salud, de todos los cuales se tenía proyectada una ejecución del 25% en primer y segundo trimestre. 
A nivel administrativo, la administración y custodia del portafolio de inversión no ha iniciado, teniendo también programadas metas de ejecución del 25% en el primer y segundo trimestre.
Se observan algunos rubros sobre ejecutados, tales como: Financiación UPC Régimen Contributivo CSF, Prestaciones Excepcionales – Recobros, Atención en salud, transporte primario, indemnizaciones y auxilios funerarios víctimas y Rendimientos Financieros cuentas de recaudo EPS – SSF.
Así mismo, se observan algunos los rubros con subejecución, tales como: Devolución de Aportes y Cotizaciones no conciliadas de vigencias anteriores, Prestaciones Económicas Regímenes Especiales de Excepción, Otros programas de salud promoción y prevención y Recursos con destinación específica. 
3. Así las cosas, la ejecución presupuestal total va en el 52%. </t>
  </si>
  <si>
    <t>Realización de Exámenes de Salud Ocupacional (pre-ocupacionales, exámenes médicos post-ocupacionales)</t>
  </si>
  <si>
    <t>Se elaboraron 133 Solicitudes aclaración para las auditorías ARS_BDEX002, ARCON002, ARS009</t>
  </si>
  <si>
    <t>Se realizaron en el trimestre 12 informes de auditoría, teniendo en cuenta los términos del procedimientos de reintegro, el mayor porcentaje de informes se  veran reflejados tercer y cuarto trimestre.</t>
  </si>
  <si>
    <t>En el trimestre se remitieron a la SNS 127 comunicaciones, con las conclusiones del procedimiento de la auditoría de reintegro de recursos.</t>
  </si>
  <si>
    <t>Se generaron comunicaciones de solicitud de  reintegro a 11 EPS, de acuerdo con los resultados generados en el proceos LMA.</t>
  </si>
  <si>
    <r>
      <t xml:space="preserve">Los 33 procedimientos se encuentran descritos en los siguientes Manuales Operativos:
* Gestión Integral Régimen Contributivo
* Gestión Integral Régime Subsidiado
* Gestión Integral Régime Especial o de Excepcion.
Estos Manuales se encuentran publicados en la sigiente ruta de a página Web de la ADRES: </t>
    </r>
    <r>
      <rPr>
        <u/>
        <sz val="10"/>
        <color rgb="FF3333FF"/>
        <rFont val="Verdana"/>
        <family val="2"/>
      </rPr>
      <t xml:space="preserve">https://www.adres.gov.co/Transparencia/Manuales-t%C3%A9cnicos  </t>
    </r>
    <r>
      <rPr>
        <sz val="10"/>
        <rFont val="Verdana"/>
        <family val="2"/>
      </rPr>
      <t>tal como se observa en la evidencia localizada en la carpeta de evidencias correspondiente a esta actividad.</t>
    </r>
  </si>
  <si>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Abril de 2018
Resumen liquidación mensual mes de Mayo de 2018
Resumen liquidación mensual mes de Junio de 2018</t>
  </si>
  <si>
    <t>Se efectúo el giro directo a IPS y/o proveedores mensualmente dentro de los tiempos establecidos en la normatividad vigente y los recursos disponibles para la aplicación del giro, la información resultado del proceso se encuentra publicada en el link:
http://www.adres.gov.co La lupa al giro/Giros/Régimen Subsidiado</t>
  </si>
  <si>
    <t>Durante el II Trimestre no se realizaron operaciones de compra cartera. Todavía no se ha definido si se realizarán estas operaciones durante la vigencia  2018</t>
  </si>
  <si>
    <t>Durante el II Trimestre, la totalidad de certificaciones de descuento para que fueran aplicadas en el proceso LMA - La relación de las certificaciones puede verse en el archivo Findeter - II Trimestre 2018 (pestaña LMA), en la carpeta evidencias I Trimestre</t>
  </si>
  <si>
    <t>Durante el II Trimestre, la totalidad de certificaciones de descuento para que fueran aplicadas en el proceso LMA - La relación de las certificaciones puede verse en el archivo Findeter - II Trimestre 2018 (pestaña Compensación), en la carpeta evidencias I Trimestre</t>
  </si>
  <si>
    <t>Durante el II Trimestre se envió la totalidad de certificaciones de descuento para que fueran aplicadas en el proceso LMA - La relación de las certificaciones puede verse en el archivo Certificaciones Compra de Cartera - II Trimestre 2018 (pestaña LMA), en la carpeta evidencias II Trimestre</t>
  </si>
  <si>
    <t>Durante el II Trimestre se envió la totalidad de certificaciones de descuento para que fueran aplicadas en el proceso LMA - La relación de las certificaciones puede verse en el archivo Certificaciones Compra de Cartera - II Trimestre 2018 (pestaña Compensación), en la carpeta evidencias II Trimestre</t>
  </si>
  <si>
    <t xml:space="preserve">Durante el II Trimestre se elaboraron los siguientes estudios: Breve caracterización del valor recobrado a partir de los grupos relevantes, Metodología de Valores Máximos de Recobro, Proceso de Compensación del SGSSS 2010-2017, Balance y resultados del Impuesto Sobre la Renta para la Equidad – CREE- en el sector salud colombiano y Análisis de los recobros correspondientes a los principios activos imiglucerasa, miglustato, velaglucerasa y taliglucerasa alfa. Medicamento para la enfermedad de Gaucher.  El presupuesto indicado no es para la realización de un estudio, sino para la compra de un programa estadístico (Stata). Los recursos para esto, todavía no han sido desembolsados. </t>
  </si>
  <si>
    <t>Si bien se cerró el convenio con Cafesalud, los recursos indicados corresponden a la asesoría legal para lograrlo. Con cierre a II trimestre de 2018, el contratista no había entregado la respectiva cuenta de cobro.</t>
  </si>
  <si>
    <t>CUMPLIMIENTO GENERAL PERSPECTIVAS (Promedio porcentual)</t>
  </si>
  <si>
    <t>CUMPLIMIENTO TOTAL (Promedio porcentual)</t>
  </si>
  <si>
    <t>CUMPLIMIENTO FÍSICO (Promedio porcentual)</t>
  </si>
  <si>
    <t>CUMPIMIENTO TOTAL (Promedio)</t>
  </si>
  <si>
    <t>PROMEDIO PERSPECTIVAS</t>
  </si>
  <si>
    <t xml:space="preserve">4. En la perspectiva de clientes y partes interesadas se resaltan las siguientes situaciones:
i) los indicadores de comunicaciones presentan una ejecución del 137% y el 220%, aun cuando las metas fueron objeto de revisión y ajuste por parte del responsable al iniciar el 2° trimestre. 
ii) la actividad de dar respuesta a requerimientos de organismos externos en el marco de la normatividad vigente por parte de la Oficina de Control Interno excede la meta establecida en el periodo en razón a que en el segundo trimestre se presentó el informe que se encontraba pendiente del Primer Trimestre.
iii) la actividad de publicación del giro directo del giro previo tuvo una sobre ejecución del 167% dado que en el II trimestre se publicaron 2 informes que no se publicaron en el I trimestre.
iv) El indicador de contestación de procesos contencioso administrativos tuvo un resultado inferior al 50%.
5. La perspectiva de procesos internos presenta sobre ejecución principalmente por:
i) La DGTIC realizó la aprobación total de los procesos y procedimientos pendientes con respecto a los identificados en el II trimestre, habiendo programado un avance paulatino del 25% a lo largo del año.
ii) La DLG realizó 5 estudios del sector habiendo programado solamente 1 para el II trimestre.
iii) No obstante lo anterior, actividades como la organización de expedientes de hojas de vida, aprobación de procesos y procedimientos de la OAJ, desarrollo de nuevos sistemas de información, conciliaciones prejudiciales y judiciales y procesos penales, presentan un avance inferior al 50% en el periodo objeto de análisis.
6. La perspectiva de aprendizaje y desarrollo presenta una sobre ejecución del 190% porque durante el periodo se realizaron 8 capacitaciones de 2 que se habían planeado. </t>
  </si>
  <si>
    <t>Las situaciones expuestas anteriormente, obededen también a la reciente creación y transición de la entidad, y explican a su vez los resultados en el cumplimiento de los objetivos estratégicos y en el aporte de cada dependencia al Plan de Acción. 
Al respecto es pertinente mencionar que la sobre ejecución del objetivo estratégico: Calidad y oportunidad procesos de reconocimiento, prestaciones excepcionales y financiamiento se debe también a que la ejecución presupuestal de las actividades de compensación, prestaciones económicas rex y auditoria a recobros y reclamaciones, fue superior al 100%. De ahí también la sobre ejecución del 113% que presenta la DLG en su gestión durante el II trimestre.</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</si>
  <si>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</si>
  <si>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 Actividades sobre ejecutadas</t>
  </si>
  <si>
    <t>Jefe Oficina Asesora de Planeación y Control de Riesgos</t>
  </si>
  <si>
    <t>Jefe y Gestor de Operaciones Oficina Asesora de Planeación y Control de Riesgos</t>
  </si>
  <si>
    <r>
      <t xml:space="preserve">Se integran los siguientes planes según el Decreto 612 de 2018:
* Plan Anticorrupción y de Atención al Ciudadano
* Plan Institucional de Archivos
* Plan Institucional de Capacitación
* Plan de Seguridad y Salud en el Trabajo
* Plan de Bienestar e Incentivos
</t>
    </r>
    <r>
      <rPr>
        <b/>
        <sz val="10"/>
        <color theme="1"/>
        <rFont val="Verdana"/>
        <family val="2"/>
      </rPr>
      <t>Nota:</t>
    </r>
    <r>
      <rPr>
        <sz val="10"/>
        <color theme="1"/>
        <rFont val="Verdana"/>
        <family val="2"/>
      </rPr>
      <t xml:space="preserve"> Estos tres (3) últimos planes constituyen el Plan Estratégico de Gestión del Talento Humano.
* Plan Estratégico de Tecnologías de la Información y las Comunicaciones - PETI
* Plan de Tratamiento de Riesgos de Seguridad y Privacidad de la Información
* Plan de Seguridad y Privacidad de la Información.</t>
    </r>
  </si>
  <si>
    <t>Coordinador  Grupo de Gestión administrativa y Documental</t>
  </si>
  <si>
    <t>OBSERVACIONES GENERALES</t>
  </si>
  <si>
    <t xml:space="preserve">En enero se pago a Wilmer Erazo el 50% del valor mensual del contrato, teniendo en cuenta que inició el 11 de enero, el contratista no tenía cuentas pendientes de pago de diciembre de 2017 y en el primer primer trimestre no se ejecutó efectivamente el valor correspondiente al mes de marzo. </t>
  </si>
  <si>
    <t xml:space="preserve">El mes de enero se pagó a los contratistas asignados a esta línea entre el 50 y el 53% del valor mensual porque las fechas de inicio fueron entre el 12 y el 15 de enero. En la ejecución se incluyen las cuentas por pagar del mes de diciembre de 2017. En el trimestre no se ejecutó efectivamente el valor correspondiente al mes de marzo. </t>
  </si>
  <si>
    <t xml:space="preserve">El mes de enero se pagó a los contratistas asignados a esta línea entre el 50 y el 60% del valor mensual porque las fechas de inicio fueron entre el 12 y el 15 de enero. En la ejecución se incluyen las cuentas por pagar del mes de diciembre de 2017.En el trimestre no  se ejecutó efectivamente el valor correspondiente al mes de marzo. </t>
  </si>
  <si>
    <t xml:space="preserve">El mes de enero se pagó a la contratista asignada a esta línea el 63% del valor mensual porque la de inicio fue  el 12 de enero  el 15 de enero. En la ejecución se incluyen las cuentas por pagar del mes de diciembre de 2017. n el trimestre no  se ejecutó efectivamente el valor correspondiente al mes de marzo. </t>
  </si>
  <si>
    <t>No aplica</t>
  </si>
  <si>
    <t>No se ha iniciado ejecución</t>
  </si>
  <si>
    <t>Pendiente definir de acuerdo al comportamiento del primer trimestre del 2018, una vez sea instalada la herramienta de medición</t>
  </si>
  <si>
    <t>para contratos y gastos que por honorarios y/o remuneración de servicios técnicos se requieran según las necesidades de la ADRES, los cuales aún no tienen afectación de tercero.</t>
  </si>
  <si>
    <r>
      <rPr>
        <b/>
        <sz val="9"/>
        <color theme="1"/>
        <rFont val="Verdana"/>
        <family val="2"/>
      </rPr>
      <t xml:space="preserve">Notas: </t>
    </r>
    <r>
      <rPr>
        <sz val="9"/>
        <color theme="1"/>
        <rFont val="Verdana"/>
        <family val="2"/>
      </rPr>
      <t xml:space="preserve">Existe un disponible de </t>
    </r>
  </si>
  <si>
    <t>De acuerdo con el Plan No. 1 de acción de mejora de la Oficina Asesora de Planeación, en el Procedimiento de Seguimiento al Plan de Acción y el Plan Estratégico e Institucional:
Se agregó una columna la cual se formuló para  aproximar a 100% todos aquellos datos de cada periodo de medición que superan esta cifra para cada una de las actividades.
Se agregó una columna la cual se formuló para  aproximar a 50%, 75% y 100% todos aquellos datos acumulados en cada periodo que superan esta cifra para cada una de las actividades.
Se agregó una columna replicando la información anterior, con el fin de calcular los resultados considerando únicamente las actividades programadas para cada periodo objeto de medición.
Se incluyeron nuevas hojas con los resultados consolidados por perspectivas, objetivos y dependencias, formuladas con los datos de las columnas descritas en los párrafos anteriores.
Se agregó una fila denominada: CUMPLIMIENTO TOTAL (Promedio porcentual) la cual se formuló con el promedio aritmético de todas y cada una de las 189 actividades actuales del Plan de Acción.
Se agregó una fila denominada: CUMPLIMIENTO FÍSICO (Promedio porcentual) la cual se formuló con el promedio aritmético de las actividades de las perspectivas: enfoque al cliente y otras partes interesadas, procesos internos y aprendizaje y desarrollo. 
En la hoja denominada. Cumplimiento Perspectivas se agregó una columna con el porcentaje de actividades sobre ejecutadas para cada perspectiva y en cada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</si>
</sst>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 numFmtId="174" formatCode="_-[$$-240A]* #,##0.00_-;\-[$$-240A]* #,##0.00_-;_-[$$-240A]* &quot;-&quot;??_-;_-@_-"/>
    <numFmt numFmtId="175" formatCode="_-* #,##0\ _€_-;\-* #,##0\ _€_-;_-* &quot;-&quot;??\ _€_-;_-@_-"/>
  </numFmts>
  <fonts count="98"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sz val="11"/>
      <name val="Arial"/>
      <family val="2"/>
    </font>
    <font>
      <b/>
      <sz val="11"/>
      <color theme="4"/>
      <name val="Calibri"/>
      <family val="2"/>
      <scheme val="minor"/>
    </font>
    <font>
      <u/>
      <sz val="11"/>
      <color theme="10"/>
      <name val="Calibri"/>
      <family val="2"/>
      <scheme val="minor"/>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9"/>
      <color theme="0"/>
      <name val="Verdana"/>
      <family val="2"/>
    </font>
    <font>
      <sz val="10"/>
      <name val="Verdana"/>
      <family val="2"/>
    </font>
    <font>
      <i/>
      <sz val="10"/>
      <name val="Verdana"/>
      <family val="2"/>
    </font>
    <font>
      <u/>
      <sz val="10"/>
      <name val="Verdana"/>
      <family val="2"/>
    </font>
    <font>
      <b/>
      <sz val="14"/>
      <color theme="0"/>
      <name val="Verdana"/>
      <family val="2"/>
    </font>
    <font>
      <sz val="14"/>
      <name val="Verdana"/>
      <family val="2"/>
    </font>
    <font>
      <i/>
      <sz val="10"/>
      <color rgb="FFFF0000"/>
      <name val="Verdana"/>
      <family val="2"/>
    </font>
    <font>
      <i/>
      <sz val="10"/>
      <color theme="1"/>
      <name val="Verdana"/>
      <family val="2"/>
    </font>
    <font>
      <sz val="10"/>
      <color rgb="FFFF0000"/>
      <name val="Verdana"/>
      <family val="2"/>
    </font>
    <font>
      <b/>
      <sz val="10"/>
      <color rgb="FFFF0000"/>
      <name val="Verdana"/>
      <family val="2"/>
    </font>
    <font>
      <sz val="10"/>
      <color rgb="FF000000"/>
      <name val="Verdana"/>
      <family val="2"/>
    </font>
    <font>
      <u/>
      <sz val="10"/>
      <color theme="4"/>
      <name val="Verdana"/>
      <family val="2"/>
    </font>
    <font>
      <u/>
      <sz val="10"/>
      <color rgb="FF3333FF"/>
      <name val="Verdana"/>
      <family val="2"/>
    </font>
    <font>
      <sz val="11"/>
      <color theme="0"/>
      <name val="Verdana"/>
      <family val="2"/>
    </font>
    <font>
      <b/>
      <sz val="12"/>
      <color theme="0"/>
      <name val="Verdana"/>
      <family val="2"/>
    </font>
    <font>
      <b/>
      <sz val="11"/>
      <color theme="0"/>
      <name val="Verdana"/>
      <family val="2"/>
    </font>
    <font>
      <b/>
      <sz val="16"/>
      <color theme="0"/>
      <name val="Verdana"/>
      <family val="2"/>
    </font>
    <font>
      <b/>
      <sz val="20"/>
      <color theme="0"/>
      <name val="Verdana"/>
      <family val="2"/>
    </font>
  </fonts>
  <fills count="31">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
      <patternFill patternType="solid">
        <fgColor rgb="FFB4C6E7"/>
        <bgColor indexed="64"/>
      </patternFill>
    </fill>
    <fill>
      <patternFill patternType="solid">
        <fgColor rgb="FF00B050"/>
        <bgColor indexed="64"/>
      </patternFill>
    </fill>
    <fill>
      <patternFill patternType="solid">
        <fgColor theme="0" tint="-0.34998626667073579"/>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24">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cellStyleXfs>
  <cellXfs count="1413">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5"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7" fillId="0" borderId="0" xfId="13" applyFont="1"/>
    <xf numFmtId="0" fontId="28" fillId="0" borderId="0" xfId="13" applyFont="1"/>
    <xf numFmtId="0" fontId="29" fillId="0" borderId="0" xfId="0" applyFont="1"/>
    <xf numFmtId="9" fontId="18" fillId="0" borderId="0" xfId="0" applyNumberFormat="1" applyFont="1"/>
    <xf numFmtId="0" fontId="18" fillId="0" borderId="0" xfId="0" applyFont="1"/>
    <xf numFmtId="0" fontId="33" fillId="0" borderId="0" xfId="0" applyFont="1"/>
    <xf numFmtId="9" fontId="6" fillId="0" borderId="0" xfId="0" applyNumberFormat="1" applyFont="1"/>
    <xf numFmtId="0" fontId="32" fillId="0" borderId="0" xfId="0" applyFont="1" applyAlignment="1">
      <alignment horizontal="left"/>
    </xf>
    <xf numFmtId="0" fontId="29" fillId="0" borderId="5" xfId="0" applyFont="1" applyFill="1" applyBorder="1" applyAlignment="1">
      <alignment horizontal="right" vertical="center"/>
    </xf>
    <xf numFmtId="0" fontId="29" fillId="0" borderId="28" xfId="0" applyFont="1" applyFill="1" applyBorder="1" applyAlignment="1">
      <alignment horizontal="justify" vertical="center" wrapText="1"/>
    </xf>
    <xf numFmtId="0" fontId="34" fillId="0" borderId="28" xfId="0" applyFont="1" applyFill="1" applyBorder="1" applyAlignment="1">
      <alignment horizontal="right" vertical="center"/>
    </xf>
    <xf numFmtId="0" fontId="29" fillId="0" borderId="28" xfId="0" applyFont="1" applyFill="1" applyBorder="1" applyAlignment="1">
      <alignment horizontal="right" vertical="center"/>
    </xf>
    <xf numFmtId="0" fontId="29" fillId="0" borderId="28" xfId="0" applyFont="1" applyFill="1" applyBorder="1" applyAlignment="1">
      <alignment horizontal="center" vertical="center"/>
    </xf>
    <xf numFmtId="42" fontId="29" fillId="0" borderId="28" xfId="5" applyFont="1" applyFill="1" applyBorder="1" applyAlignment="1">
      <alignment horizontal="right" vertical="center"/>
    </xf>
    <xf numFmtId="9" fontId="29" fillId="0" borderId="28" xfId="1" applyFont="1" applyFill="1" applyBorder="1" applyAlignment="1">
      <alignment horizontal="right" vertical="center"/>
    </xf>
    <xf numFmtId="42" fontId="29" fillId="0" borderId="28" xfId="0" applyNumberFormat="1" applyFont="1" applyFill="1" applyBorder="1" applyAlignment="1">
      <alignment horizontal="right" vertical="center"/>
    </xf>
    <xf numFmtId="0" fontId="29" fillId="0" borderId="28" xfId="0" applyFont="1" applyFill="1" applyBorder="1" applyAlignment="1">
      <alignment horizontal="justify" vertical="center"/>
    </xf>
    <xf numFmtId="0" fontId="29" fillId="0" borderId="28" xfId="0" applyFont="1" applyFill="1" applyBorder="1" applyAlignment="1">
      <alignment vertical="center"/>
    </xf>
    <xf numFmtId="0" fontId="29" fillId="0" borderId="28" xfId="0" applyFont="1" applyFill="1" applyBorder="1"/>
    <xf numFmtId="9" fontId="29" fillId="0" borderId="28" xfId="1" applyNumberFormat="1" applyFont="1" applyFill="1" applyBorder="1" applyAlignment="1">
      <alignment horizontal="right" vertical="center"/>
    </xf>
    <xf numFmtId="9" fontId="29" fillId="23" borderId="28" xfId="1" applyNumberFormat="1" applyFont="1" applyFill="1" applyBorder="1" applyAlignment="1">
      <alignment horizontal="right" vertical="center" wrapText="1"/>
    </xf>
    <xf numFmtId="0" fontId="29" fillId="0" borderId="60" xfId="0" applyFont="1" applyFill="1" applyBorder="1" applyAlignment="1">
      <alignment horizontal="justify" vertical="center" wrapText="1"/>
    </xf>
    <xf numFmtId="169" fontId="29" fillId="0" borderId="1" xfId="0" applyNumberFormat="1" applyFont="1" applyFill="1" applyBorder="1"/>
    <xf numFmtId="0" fontId="29" fillId="0" borderId="1" xfId="0" applyFont="1" applyFill="1" applyBorder="1" applyAlignment="1">
      <alignment horizontal="justify" vertical="center" wrapText="1"/>
    </xf>
    <xf numFmtId="42" fontId="29" fillId="0" borderId="1" xfId="5" applyFont="1" applyFill="1" applyBorder="1"/>
    <xf numFmtId="0" fontId="29" fillId="0" borderId="1" xfId="0" applyFont="1" applyFill="1" applyBorder="1"/>
    <xf numFmtId="0" fontId="29" fillId="0" borderId="7" xfId="0" applyFont="1" applyFill="1" applyBorder="1" applyAlignment="1">
      <alignment horizontal="right" vertical="center"/>
    </xf>
    <xf numFmtId="0" fontId="29" fillId="0" borderId="1" xfId="0" applyFont="1" applyFill="1" applyBorder="1" applyAlignment="1">
      <alignment horizontal="right" vertical="center"/>
    </xf>
    <xf numFmtId="0" fontId="34" fillId="0" borderId="1" xfId="0" applyFont="1" applyFill="1" applyBorder="1" applyAlignment="1">
      <alignment horizontal="center" vertical="center"/>
    </xf>
    <xf numFmtId="9" fontId="34" fillId="9" borderId="1" xfId="0" applyNumberFormat="1" applyFont="1" applyFill="1" applyBorder="1" applyAlignment="1">
      <alignment horizontal="right" vertical="center"/>
    </xf>
    <xf numFmtId="0" fontId="34" fillId="0" borderId="1" xfId="0" applyFont="1" applyFill="1" applyBorder="1" applyAlignment="1">
      <alignment horizontal="justify" vertical="center" wrapText="1"/>
    </xf>
    <xf numFmtId="9" fontId="34" fillId="9" borderId="1" xfId="1" applyFont="1" applyFill="1" applyBorder="1" applyAlignment="1">
      <alignment horizontal="right" vertical="center"/>
    </xf>
    <xf numFmtId="9" fontId="34" fillId="9" borderId="1" xfId="1" applyFont="1" applyFill="1" applyBorder="1" applyAlignment="1">
      <alignment vertical="center"/>
    </xf>
    <xf numFmtId="9" fontId="29" fillId="0" borderId="1" xfId="1" applyNumberFormat="1" applyFont="1" applyFill="1" applyBorder="1" applyAlignment="1">
      <alignment horizontal="right" vertical="center"/>
    </xf>
    <xf numFmtId="9" fontId="29" fillId="4" borderId="1" xfId="1" applyNumberFormat="1" applyFont="1" applyFill="1" applyBorder="1" applyAlignment="1">
      <alignment horizontal="right" vertical="center" wrapText="1"/>
    </xf>
    <xf numFmtId="0" fontId="29" fillId="0" borderId="59" xfId="0" applyFont="1" applyFill="1" applyBorder="1" applyAlignment="1">
      <alignment horizontal="justify" vertical="center" wrapText="1"/>
    </xf>
    <xf numFmtId="9" fontId="29" fillId="22" borderId="1" xfId="1" applyNumberFormat="1" applyFont="1" applyFill="1" applyBorder="1" applyAlignment="1">
      <alignment horizontal="right" vertical="center" wrapText="1"/>
    </xf>
    <xf numFmtId="9" fontId="29" fillId="0" borderId="1" xfId="1" applyFont="1" applyFill="1" applyBorder="1"/>
    <xf numFmtId="0" fontId="29" fillId="0" borderId="1" xfId="0" applyFont="1" applyFill="1" applyBorder="1" applyAlignment="1">
      <alignment horizontal="center" vertical="center"/>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 xfId="1" applyFont="1" applyFill="1" applyBorder="1" applyAlignment="1">
      <alignment horizontal="justify" vertical="center" wrapText="1"/>
    </xf>
    <xf numFmtId="42" fontId="29" fillId="0" borderId="1" xfId="1" applyNumberFormat="1" applyFont="1" applyFill="1" applyBorder="1" applyAlignment="1">
      <alignment horizontal="right" vertical="center"/>
    </xf>
    <xf numFmtId="0" fontId="29" fillId="0" borderId="1" xfId="0" applyFont="1" applyFill="1" applyBorder="1" applyAlignment="1">
      <alignment horizontal="justify" vertical="center"/>
    </xf>
    <xf numFmtId="1" fontId="29" fillId="0" borderId="1" xfId="0" applyNumberFormat="1" applyFont="1" applyFill="1" applyBorder="1" applyAlignment="1">
      <alignment horizontal="right" vertical="center"/>
    </xf>
    <xf numFmtId="9" fontId="29" fillId="0" borderId="1" xfId="0" applyNumberFormat="1" applyFont="1" applyFill="1" applyBorder="1" applyAlignment="1">
      <alignment horizontal="right" vertical="center"/>
    </xf>
    <xf numFmtId="9" fontId="29" fillId="23" borderId="1" xfId="1" applyNumberFormat="1" applyFont="1" applyFill="1" applyBorder="1" applyAlignment="1">
      <alignment horizontal="right" vertical="center" wrapText="1"/>
    </xf>
    <xf numFmtId="1" fontId="29" fillId="0" borderId="1" xfId="1" applyNumberFormat="1" applyFont="1" applyFill="1" applyBorder="1"/>
    <xf numFmtId="9" fontId="29" fillId="0" borderId="1" xfId="0" applyNumberFormat="1" applyFont="1" applyFill="1" applyBorder="1" applyAlignment="1">
      <alignment horizontal="justify" vertical="center" wrapText="1"/>
    </xf>
    <xf numFmtId="10" fontId="29" fillId="0" borderId="1" xfId="1" applyNumberFormat="1" applyFont="1" applyFill="1" applyBorder="1" applyAlignment="1">
      <alignment horizontal="right" vertical="center"/>
    </xf>
    <xf numFmtId="41" fontId="29" fillId="0" borderId="1" xfId="3" applyFont="1" applyFill="1" applyBorder="1" applyAlignment="1">
      <alignment horizontal="right" vertical="center"/>
    </xf>
    <xf numFmtId="0" fontId="34" fillId="0" borderId="1" xfId="0" applyFont="1" applyFill="1" applyBorder="1" applyAlignment="1">
      <alignment horizontal="justify" vertical="center"/>
    </xf>
    <xf numFmtId="9" fontId="29" fillId="25" borderId="1" xfId="1" applyNumberFormat="1" applyFont="1" applyFill="1" applyBorder="1" applyAlignment="1">
      <alignment horizontal="right" vertical="center" wrapText="1"/>
    </xf>
    <xf numFmtId="1" fontId="34" fillId="0" borderId="1" xfId="1" applyNumberFormat="1" applyFont="1" applyFill="1" applyBorder="1" applyAlignment="1">
      <alignment horizontal="right" vertical="center"/>
    </xf>
    <xf numFmtId="9" fontId="29" fillId="0" borderId="1" xfId="3" applyNumberFormat="1" applyFont="1" applyFill="1" applyBorder="1" applyAlignment="1">
      <alignment horizontal="right" vertical="center"/>
    </xf>
    <xf numFmtId="9" fontId="34" fillId="0" borderId="1" xfId="0" applyNumberFormat="1" applyFont="1" applyFill="1" applyBorder="1" applyAlignment="1">
      <alignment horizontal="right" vertical="center"/>
    </xf>
    <xf numFmtId="1" fontId="29" fillId="0" borderId="1" xfId="1" applyNumberFormat="1" applyFont="1" applyFill="1" applyBorder="1" applyAlignment="1">
      <alignment horizontal="right" vertical="center"/>
    </xf>
    <xf numFmtId="9" fontId="29" fillId="24" borderId="1" xfId="1" applyNumberFormat="1" applyFont="1" applyFill="1" applyBorder="1" applyAlignment="1">
      <alignment horizontal="right" vertical="center" wrapText="1"/>
    </xf>
    <xf numFmtId="0" fontId="29" fillId="0" borderId="1" xfId="0" applyNumberFormat="1" applyFont="1" applyFill="1" applyBorder="1" applyAlignment="1">
      <alignment horizontal="right" vertical="center"/>
    </xf>
    <xf numFmtId="41" fontId="34" fillId="0" borderId="1" xfId="3" applyFont="1" applyFill="1" applyBorder="1" applyAlignment="1">
      <alignment horizontal="right" vertical="center"/>
    </xf>
    <xf numFmtId="0" fontId="29" fillId="0" borderId="18" xfId="0" applyFont="1" applyFill="1" applyBorder="1" applyAlignment="1">
      <alignment horizontal="justify" vertical="center" wrapText="1"/>
    </xf>
    <xf numFmtId="0" fontId="29" fillId="0" borderId="18" xfId="0" applyFont="1" applyFill="1" applyBorder="1" applyAlignment="1">
      <alignment horizontal="right" vertical="center"/>
    </xf>
    <xf numFmtId="0" fontId="29" fillId="0" borderId="18" xfId="0" applyFont="1" applyFill="1" applyBorder="1" applyAlignment="1">
      <alignment horizontal="center" vertical="center"/>
    </xf>
    <xf numFmtId="42" fontId="29" fillId="0" borderId="18" xfId="5" applyFont="1" applyFill="1" applyBorder="1" applyAlignment="1">
      <alignment horizontal="right" vertical="center"/>
    </xf>
    <xf numFmtId="9" fontId="29" fillId="0" borderId="18" xfId="1" applyFont="1" applyFill="1" applyBorder="1" applyAlignment="1">
      <alignment horizontal="right" vertical="center"/>
    </xf>
    <xf numFmtId="42" fontId="29" fillId="0" borderId="18" xfId="0" applyNumberFormat="1" applyFont="1" applyFill="1" applyBorder="1" applyAlignment="1">
      <alignment horizontal="right" vertical="center"/>
    </xf>
    <xf numFmtId="0" fontId="29" fillId="0" borderId="18" xfId="0" applyFont="1" applyFill="1" applyBorder="1" applyAlignment="1">
      <alignment horizontal="justify" vertical="center"/>
    </xf>
    <xf numFmtId="0" fontId="29" fillId="0" borderId="18" xfId="0" applyFont="1" applyFill="1" applyBorder="1" applyAlignment="1">
      <alignment vertical="center"/>
    </xf>
    <xf numFmtId="0" fontId="29" fillId="0" borderId="18" xfId="0" applyFont="1" applyFill="1" applyBorder="1"/>
    <xf numFmtId="9" fontId="29" fillId="0" borderId="18" xfId="1" applyNumberFormat="1" applyFont="1" applyFill="1" applyBorder="1" applyAlignment="1">
      <alignment horizontal="right" vertical="center"/>
    </xf>
    <xf numFmtId="9" fontId="29" fillId="23" borderId="18" xfId="1" applyNumberFormat="1" applyFont="1" applyFill="1" applyBorder="1" applyAlignment="1">
      <alignment horizontal="right" vertical="center" wrapText="1"/>
    </xf>
    <xf numFmtId="0" fontId="29" fillId="0" borderId="2" xfId="0" applyFont="1" applyFill="1" applyBorder="1" applyAlignment="1">
      <alignment horizontal="justify" vertical="center" wrapText="1"/>
    </xf>
    <xf numFmtId="9" fontId="29" fillId="21" borderId="1" xfId="1" applyNumberFormat="1" applyFont="1" applyFill="1" applyBorder="1" applyAlignment="1">
      <alignment horizontal="right" vertical="center" wrapText="1"/>
    </xf>
    <xf numFmtId="9" fontId="24" fillId="0" borderId="1" xfId="0" applyNumberFormat="1" applyFont="1" applyFill="1" applyBorder="1" applyAlignment="1">
      <alignment horizontal="right" vertical="center"/>
    </xf>
    <xf numFmtId="0" fontId="34" fillId="0" borderId="1" xfId="0" applyFont="1" applyFill="1" applyBorder="1" applyAlignment="1">
      <alignment horizontal="right" vertical="center"/>
    </xf>
    <xf numFmtId="9" fontId="29" fillId="0" borderId="1" xfId="0" applyNumberFormat="1" applyFont="1" applyFill="1" applyBorder="1" applyAlignment="1">
      <alignment horizontal="right" vertical="center" wrapText="1"/>
    </xf>
    <xf numFmtId="1" fontId="29" fillId="0" borderId="1" xfId="0" applyNumberFormat="1" applyFont="1" applyFill="1" applyBorder="1" applyAlignment="1">
      <alignment horizontal="justify" vertical="center"/>
    </xf>
    <xf numFmtId="9" fontId="29" fillId="0" borderId="1" xfId="1" applyFont="1" applyFill="1" applyBorder="1" applyAlignment="1">
      <alignment vertical="center"/>
    </xf>
    <xf numFmtId="0" fontId="29" fillId="0" borderId="9" xfId="0" applyFont="1" applyFill="1" applyBorder="1" applyAlignment="1">
      <alignment horizontal="right" vertical="center"/>
    </xf>
    <xf numFmtId="0" fontId="29" fillId="0" borderId="29" xfId="0" applyFont="1" applyFill="1" applyBorder="1" applyAlignment="1">
      <alignment horizontal="justify" vertical="center" wrapText="1"/>
    </xf>
    <xf numFmtId="0" fontId="29" fillId="0" borderId="29" xfId="0" applyFont="1" applyFill="1" applyBorder="1" applyAlignment="1">
      <alignment horizontal="right" vertical="center"/>
    </xf>
    <xf numFmtId="0" fontId="29" fillId="0" borderId="29" xfId="0" applyFont="1" applyFill="1" applyBorder="1" applyAlignment="1">
      <alignment horizontal="center" vertical="center"/>
    </xf>
    <xf numFmtId="9" fontId="29" fillId="0" borderId="29" xfId="0" applyNumberFormat="1" applyFont="1" applyFill="1" applyBorder="1" applyAlignment="1">
      <alignment horizontal="right" vertical="center"/>
    </xf>
    <xf numFmtId="42" fontId="29" fillId="0" borderId="29" xfId="5" applyFont="1" applyFill="1" applyBorder="1" applyAlignment="1">
      <alignment horizontal="right" vertical="center"/>
    </xf>
    <xf numFmtId="9" fontId="29" fillId="0" borderId="29" xfId="1" applyFont="1" applyFill="1" applyBorder="1" applyAlignment="1">
      <alignment horizontal="right" vertical="center"/>
    </xf>
    <xf numFmtId="9" fontId="29" fillId="0" borderId="29" xfId="1" applyFont="1" applyFill="1" applyBorder="1" applyAlignment="1">
      <alignment horizontal="justify" vertical="center" wrapText="1"/>
    </xf>
    <xf numFmtId="42" fontId="29" fillId="0" borderId="29" xfId="1" applyNumberFormat="1" applyFont="1" applyFill="1" applyBorder="1" applyAlignment="1">
      <alignment horizontal="right" vertical="center"/>
    </xf>
    <xf numFmtId="0" fontId="29" fillId="0" borderId="29" xfId="0" applyFont="1" applyFill="1" applyBorder="1" applyAlignment="1">
      <alignment horizontal="justify" vertical="center"/>
    </xf>
    <xf numFmtId="0" fontId="29" fillId="0" borderId="29" xfId="0" applyFont="1" applyFill="1" applyBorder="1"/>
    <xf numFmtId="9" fontId="29" fillId="0" borderId="29" xfId="1" applyNumberFormat="1" applyFont="1" applyFill="1" applyBorder="1" applyAlignment="1">
      <alignment horizontal="right" vertical="center"/>
    </xf>
    <xf numFmtId="9" fontId="29" fillId="24" borderId="29" xfId="1" applyNumberFormat="1" applyFont="1" applyFill="1" applyBorder="1" applyAlignment="1">
      <alignment horizontal="right" vertical="center" wrapText="1"/>
    </xf>
    <xf numFmtId="0" fontId="29" fillId="0" borderId="61" xfId="0" applyFont="1" applyFill="1" applyBorder="1" applyAlignment="1">
      <alignment horizontal="justify" vertical="center" wrapText="1"/>
    </xf>
    <xf numFmtId="0" fontId="29" fillId="0" borderId="0" xfId="0" applyFont="1" applyAlignment="1">
      <alignment horizontal="center"/>
    </xf>
    <xf numFmtId="41" fontId="29" fillId="0" borderId="0" xfId="0" applyNumberFormat="1" applyFont="1"/>
    <xf numFmtId="0" fontId="29" fillId="0" borderId="0" xfId="0" applyFont="1" applyFill="1"/>
    <xf numFmtId="0" fontId="31" fillId="0" borderId="1" xfId="0" applyFont="1" applyBorder="1" applyAlignment="1">
      <alignment horizontal="center" vertical="center" wrapText="1"/>
    </xf>
    <xf numFmtId="0" fontId="29" fillId="0" borderId="1" xfId="0" applyFont="1" applyBorder="1"/>
    <xf numFmtId="166" fontId="29" fillId="0" borderId="1" xfId="3" applyNumberFormat="1" applyFont="1" applyBorder="1"/>
    <xf numFmtId="166" fontId="29" fillId="0" borderId="1" xfId="0" applyNumberFormat="1" applyFont="1" applyBorder="1"/>
    <xf numFmtId="170" fontId="29" fillId="0" borderId="1" xfId="0" applyNumberFormat="1" applyFont="1" applyBorder="1"/>
    <xf numFmtId="0" fontId="29" fillId="0" borderId="16" xfId="0" applyFont="1" applyBorder="1" applyAlignment="1">
      <alignment horizontal="center"/>
    </xf>
    <xf numFmtId="0" fontId="29" fillId="0" borderId="8" xfId="0" applyFont="1" applyBorder="1" applyAlignment="1">
      <alignment horizontal="center"/>
    </xf>
    <xf numFmtId="0" fontId="29" fillId="0" borderId="10" xfId="0" applyFont="1" applyBorder="1" applyAlignment="1">
      <alignment horizontal="center"/>
    </xf>
    <xf numFmtId="0" fontId="33" fillId="27" borderId="40" xfId="0" applyFont="1" applyFill="1" applyBorder="1" applyAlignment="1">
      <alignment horizontal="center"/>
    </xf>
    <xf numFmtId="0" fontId="30" fillId="0" borderId="0" xfId="0" applyFont="1"/>
    <xf numFmtId="0" fontId="30" fillId="0" borderId="0" xfId="0" applyFont="1" applyAlignment="1">
      <alignment horizontal="center"/>
    </xf>
    <xf numFmtId="0" fontId="29" fillId="0" borderId="1" xfId="0" applyFont="1" applyBorder="1" applyAlignment="1">
      <alignment horizontal="center" vertical="center"/>
    </xf>
    <xf numFmtId="9" fontId="34" fillId="4" borderId="1" xfId="1" applyFont="1" applyFill="1" applyBorder="1" applyAlignment="1">
      <alignment vertical="center"/>
    </xf>
    <xf numFmtId="0" fontId="29" fillId="4" borderId="1" xfId="0" applyFont="1" applyFill="1" applyBorder="1"/>
    <xf numFmtId="9" fontId="29" fillId="4" borderId="1" xfId="1" applyNumberFormat="1" applyFont="1" applyFill="1" applyBorder="1" applyAlignment="1">
      <alignment horizontal="right" vertical="center"/>
    </xf>
    <xf numFmtId="9" fontId="29" fillId="4" borderId="1" xfId="0" applyNumberFormat="1" applyFont="1" applyFill="1" applyBorder="1" applyAlignment="1">
      <alignment horizontal="right" vertical="center"/>
    </xf>
    <xf numFmtId="0" fontId="29" fillId="4" borderId="1" xfId="0" applyFont="1" applyFill="1" applyBorder="1" applyAlignment="1">
      <alignment horizontal="justify" vertical="center"/>
    </xf>
    <xf numFmtId="42" fontId="29" fillId="4" borderId="1" xfId="5" applyFont="1" applyFill="1" applyBorder="1" applyAlignment="1">
      <alignment horizontal="right" vertical="center"/>
    </xf>
    <xf numFmtId="1" fontId="29" fillId="4" borderId="1" xfId="0" applyNumberFormat="1" applyFont="1" applyFill="1" applyBorder="1" applyAlignment="1">
      <alignment horizontal="right" vertical="center"/>
    </xf>
    <xf numFmtId="42" fontId="29" fillId="4" borderId="1" xfId="0" applyNumberFormat="1" applyFont="1" applyFill="1" applyBorder="1"/>
    <xf numFmtId="9" fontId="34" fillId="4" borderId="1" xfId="0" applyNumberFormat="1" applyFont="1" applyFill="1" applyBorder="1" applyAlignment="1">
      <alignment horizontal="right" vertical="center"/>
    </xf>
    <xf numFmtId="9" fontId="24" fillId="4" borderId="1" xfId="1" applyNumberFormat="1" applyFont="1" applyFill="1" applyBorder="1" applyAlignment="1">
      <alignment horizontal="right" vertical="center"/>
    </xf>
    <xf numFmtId="0" fontId="29" fillId="0" borderId="0" xfId="0" applyFont="1" applyFill="1" applyAlignment="1">
      <alignment horizontal="justify" vertical="center"/>
    </xf>
    <xf numFmtId="3" fontId="41" fillId="26" borderId="49" xfId="0" applyNumberFormat="1" applyFont="1" applyFill="1" applyBorder="1" applyAlignment="1">
      <alignment horizontal="center" vertical="center" wrapText="1"/>
    </xf>
    <xf numFmtId="0" fontId="42" fillId="0" borderId="0" xfId="0" applyFont="1" applyAlignment="1">
      <alignment horizontal="justify" vertical="center" wrapText="1"/>
    </xf>
    <xf numFmtId="0" fontId="42" fillId="0" borderId="56" xfId="0" applyFont="1" applyBorder="1" applyAlignment="1">
      <alignment horizontal="justify" vertical="center" wrapText="1"/>
    </xf>
    <xf numFmtId="0" fontId="42" fillId="0" borderId="52" xfId="0" applyFont="1" applyBorder="1" applyAlignment="1">
      <alignment horizontal="justify" vertical="center" wrapText="1"/>
    </xf>
    <xf numFmtId="0" fontId="42" fillId="0" borderId="53" xfId="0" applyFont="1" applyBorder="1" applyAlignment="1">
      <alignment horizontal="justify" vertical="center" wrapText="1"/>
    </xf>
    <xf numFmtId="0" fontId="42" fillId="0" borderId="0" xfId="0" applyFont="1"/>
    <xf numFmtId="0" fontId="42" fillId="0" borderId="54" xfId="0" applyFont="1" applyBorder="1" applyAlignment="1">
      <alignment horizontal="justify" vertical="center" wrapText="1"/>
    </xf>
    <xf numFmtId="0" fontId="42" fillId="0" borderId="55" xfId="0" applyFont="1" applyBorder="1" applyAlignment="1">
      <alignment horizontal="justify" vertical="center" wrapText="1"/>
    </xf>
    <xf numFmtId="0" fontId="46" fillId="0" borderId="0" xfId="0" applyFont="1"/>
    <xf numFmtId="0" fontId="46" fillId="0" borderId="0" xfId="0" applyFont="1" applyFill="1" applyBorder="1"/>
    <xf numFmtId="0" fontId="46" fillId="0" borderId="0" xfId="0" applyFont="1" applyFill="1"/>
    <xf numFmtId="0" fontId="46" fillId="0" borderId="0" xfId="0" applyFont="1" applyBorder="1"/>
    <xf numFmtId="0" fontId="49" fillId="0" borderId="16" xfId="0" applyFont="1" applyBorder="1" applyAlignment="1">
      <alignment vertical="center"/>
    </xf>
    <xf numFmtId="0" fontId="49" fillId="0" borderId="8" xfId="0" applyFont="1" applyBorder="1" applyAlignment="1">
      <alignment vertical="center"/>
    </xf>
    <xf numFmtId="9" fontId="46" fillId="0" borderId="0" xfId="0" applyNumberFormat="1" applyFont="1"/>
    <xf numFmtId="9" fontId="46" fillId="0" borderId="0" xfId="0" applyNumberFormat="1" applyFont="1" applyFill="1" applyBorder="1"/>
    <xf numFmtId="9" fontId="46" fillId="0" borderId="0" xfId="1" applyFont="1" applyFill="1" applyBorder="1"/>
    <xf numFmtId="10" fontId="46" fillId="0" borderId="0" xfId="0" applyNumberFormat="1" applyFont="1" applyFill="1" applyBorder="1"/>
    <xf numFmtId="0" fontId="51" fillId="0" borderId="0" xfId="0" applyFont="1" applyBorder="1"/>
    <xf numFmtId="0" fontId="52" fillId="0" borderId="0" xfId="0" applyFont="1" applyBorder="1" applyAlignment="1"/>
    <xf numFmtId="0" fontId="49" fillId="0" borderId="10" xfId="0" applyFont="1" applyBorder="1" applyAlignment="1">
      <alignment vertical="center"/>
    </xf>
    <xf numFmtId="0" fontId="53" fillId="0" borderId="0" xfId="0" applyFont="1" applyBorder="1" applyAlignment="1">
      <alignment vertical="center"/>
    </xf>
    <xf numFmtId="0" fontId="46" fillId="0" borderId="0" xfId="0" applyFont="1" applyFill="1" applyBorder="1" applyAlignment="1">
      <alignment horizontal="centerContinuous" vertical="center"/>
    </xf>
    <xf numFmtId="3" fontId="55" fillId="26" borderId="13" xfId="0" applyNumberFormat="1" applyFont="1" applyFill="1" applyBorder="1" applyAlignment="1">
      <alignment horizontal="center" vertical="center" wrapText="1"/>
    </xf>
    <xf numFmtId="3" fontId="55" fillId="26" borderId="24"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49" fontId="55" fillId="26" borderId="39" xfId="0" applyNumberFormat="1" applyFont="1" applyFill="1" applyBorder="1" applyAlignment="1">
      <alignment horizontal="center" vertical="center" wrapText="1"/>
    </xf>
    <xf numFmtId="3" fontId="55" fillId="0" borderId="0" xfId="0" applyNumberFormat="1" applyFont="1" applyFill="1" applyBorder="1" applyAlignment="1">
      <alignment horizontal="center" vertical="center" wrapText="1"/>
    </xf>
    <xf numFmtId="49" fontId="55" fillId="18" borderId="0" xfId="0" applyNumberFormat="1" applyFont="1" applyFill="1" applyBorder="1" applyAlignment="1">
      <alignment horizontal="center" vertical="center" wrapText="1"/>
    </xf>
    <xf numFmtId="0" fontId="46" fillId="0" borderId="0" xfId="0" applyFont="1" applyAlignment="1">
      <alignment horizontal="center" vertical="center" wrapText="1"/>
    </xf>
    <xf numFmtId="49" fontId="55" fillId="18" borderId="36" xfId="0" applyNumberFormat="1" applyFont="1" applyFill="1" applyBorder="1" applyAlignment="1">
      <alignment horizontal="center" vertical="center" wrapText="1"/>
    </xf>
    <xf numFmtId="0" fontId="58" fillId="0" borderId="6" xfId="0" applyFont="1" applyFill="1" applyBorder="1" applyAlignment="1">
      <alignment horizontal="justify" vertical="center" wrapText="1"/>
    </xf>
    <xf numFmtId="0" fontId="46" fillId="0" borderId="0" xfId="0" applyFont="1" applyFill="1" applyBorder="1" applyAlignment="1">
      <alignment horizontal="center"/>
    </xf>
    <xf numFmtId="9" fontId="52" fillId="19" borderId="41" xfId="1" applyFont="1" applyFill="1" applyBorder="1" applyAlignment="1">
      <alignment horizontal="right" vertical="center"/>
    </xf>
    <xf numFmtId="9" fontId="60" fillId="19" borderId="18" xfId="1" applyFont="1" applyFill="1" applyBorder="1" applyAlignment="1">
      <alignment horizontal="right" vertical="center"/>
    </xf>
    <xf numFmtId="0" fontId="46" fillId="0" borderId="43" xfId="0" applyFont="1" applyFill="1" applyBorder="1" applyAlignment="1">
      <alignment horizontal="right"/>
    </xf>
    <xf numFmtId="0" fontId="61" fillId="0" borderId="44" xfId="0" applyFont="1" applyBorder="1" applyAlignment="1">
      <alignment horizontal="center" vertical="center" wrapText="1"/>
    </xf>
    <xf numFmtId="9" fontId="62" fillId="19" borderId="24" xfId="1" applyFont="1" applyFill="1" applyBorder="1" applyAlignment="1">
      <alignment horizontal="center" vertical="center"/>
    </xf>
    <xf numFmtId="9" fontId="62" fillId="19" borderId="24" xfId="0" applyNumberFormat="1" applyFont="1" applyFill="1" applyBorder="1" applyAlignment="1">
      <alignment horizontal="center" vertical="center"/>
    </xf>
    <xf numFmtId="9" fontId="62" fillId="19" borderId="0" xfId="0" applyNumberFormat="1" applyFont="1" applyFill="1" applyBorder="1" applyAlignment="1">
      <alignment horizontal="center" vertical="center"/>
    </xf>
    <xf numFmtId="0" fontId="61" fillId="0" borderId="24" xfId="0" applyFont="1" applyBorder="1" applyAlignment="1">
      <alignment horizontal="center" vertical="center" wrapText="1"/>
    </xf>
    <xf numFmtId="9" fontId="52" fillId="19" borderId="7" xfId="1" applyFont="1" applyFill="1" applyBorder="1" applyAlignment="1">
      <alignment horizontal="right" vertical="center"/>
    </xf>
    <xf numFmtId="9" fontId="60" fillId="19" borderId="1" xfId="1" applyFont="1" applyFill="1" applyBorder="1" applyAlignment="1">
      <alignment horizontal="right" vertical="center"/>
    </xf>
    <xf numFmtId="0" fontId="46" fillId="0" borderId="1" xfId="0" applyFont="1" applyFill="1" applyBorder="1" applyAlignment="1">
      <alignment horizontal="justify" vertical="center" wrapText="1"/>
    </xf>
    <xf numFmtId="0" fontId="58" fillId="0" borderId="8" xfId="0" applyFont="1" applyBorder="1" applyAlignment="1">
      <alignment horizontal="justify" vertical="center" wrapText="1"/>
    </xf>
    <xf numFmtId="0" fontId="46" fillId="0" borderId="1" xfId="0" applyFont="1" applyBorder="1" applyAlignment="1">
      <alignment horizontal="justify" vertical="center" wrapText="1"/>
    </xf>
    <xf numFmtId="0" fontId="64" fillId="0" borderId="0" xfId="0" applyFont="1" applyFill="1" applyBorder="1" applyAlignment="1">
      <alignment horizontal="center"/>
    </xf>
    <xf numFmtId="0" fontId="46" fillId="0" borderId="0" xfId="0" applyFont="1" applyFill="1" applyBorder="1" applyAlignment="1">
      <alignment horizontal="right"/>
    </xf>
    <xf numFmtId="0" fontId="46" fillId="0" borderId="4" xfId="0" applyFont="1" applyFill="1" applyBorder="1" applyAlignment="1">
      <alignment horizontal="justify" vertical="center" wrapText="1"/>
    </xf>
    <xf numFmtId="0" fontId="46" fillId="0" borderId="4" xfId="0" applyFont="1" applyBorder="1" applyAlignment="1">
      <alignment horizontal="justify" vertical="center" wrapText="1"/>
    </xf>
    <xf numFmtId="0" fontId="58" fillId="0" borderId="12" xfId="0" applyFont="1" applyBorder="1" applyAlignment="1">
      <alignment horizontal="justify" vertical="center" wrapText="1"/>
    </xf>
    <xf numFmtId="9" fontId="52" fillId="19" borderId="11" xfId="1" applyFont="1" applyFill="1" applyBorder="1" applyAlignment="1">
      <alignment horizontal="right" vertical="center"/>
    </xf>
    <xf numFmtId="9" fontId="60" fillId="19" borderId="4" xfId="1" applyFont="1" applyFill="1" applyBorder="1" applyAlignment="1">
      <alignment horizontal="right" vertical="center"/>
    </xf>
    <xf numFmtId="0" fontId="57" fillId="0" borderId="0" xfId="0" applyFont="1" applyFill="1" applyBorder="1" applyAlignment="1">
      <alignment horizontal="center"/>
    </xf>
    <xf numFmtId="1" fontId="62" fillId="27" borderId="39" xfId="0" applyNumberFormat="1" applyFont="1" applyFill="1" applyBorder="1" applyAlignment="1">
      <alignment horizontal="right" vertical="center"/>
    </xf>
    <xf numFmtId="9" fontId="39" fillId="19" borderId="46" xfId="1" applyFont="1" applyFill="1" applyBorder="1" applyAlignment="1">
      <alignment horizontal="right" vertical="center"/>
    </xf>
    <xf numFmtId="0" fontId="57" fillId="0" borderId="42" xfId="0" applyFont="1" applyFill="1" applyBorder="1" applyAlignment="1">
      <alignment horizontal="right"/>
    </xf>
    <xf numFmtId="9" fontId="39" fillId="19" borderId="40" xfId="1" applyFont="1" applyFill="1" applyBorder="1" applyAlignment="1">
      <alignment horizontal="right" vertical="center"/>
    </xf>
    <xf numFmtId="0" fontId="61" fillId="0" borderId="44" xfId="0" applyNumberFormat="1" applyFont="1" applyBorder="1" applyAlignment="1">
      <alignment horizontal="center" vertical="center" wrapText="1"/>
    </xf>
    <xf numFmtId="0" fontId="61" fillId="0" borderId="24" xfId="0" applyNumberFormat="1" applyFont="1" applyBorder="1" applyAlignment="1">
      <alignment horizontal="center" vertical="center" wrapText="1"/>
    </xf>
    <xf numFmtId="0" fontId="61" fillId="0" borderId="45" xfId="0" applyNumberFormat="1" applyFont="1" applyBorder="1" applyAlignment="1">
      <alignment horizontal="center" vertical="center" wrapText="1"/>
    </xf>
    <xf numFmtId="0" fontId="61" fillId="0" borderId="25" xfId="0" applyNumberFormat="1" applyFont="1" applyBorder="1" applyAlignment="1">
      <alignment horizontal="center" vertical="center" wrapText="1"/>
    </xf>
    <xf numFmtId="0" fontId="61" fillId="0" borderId="48" xfId="0" applyNumberFormat="1" applyFont="1" applyBorder="1" applyAlignment="1">
      <alignment horizontal="center" vertical="center" wrapText="1"/>
    </xf>
    <xf numFmtId="0" fontId="61" fillId="0" borderId="26" xfId="0" applyNumberFormat="1" applyFont="1" applyBorder="1" applyAlignment="1">
      <alignment horizontal="center" vertical="center" wrapText="1"/>
    </xf>
    <xf numFmtId="9" fontId="62" fillId="19" borderId="25"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45" xfId="0" applyNumberFormat="1" applyFont="1" applyFill="1" applyBorder="1" applyAlignment="1">
      <alignment horizontal="center" vertical="center"/>
    </xf>
    <xf numFmtId="0" fontId="58" fillId="0" borderId="8" xfId="0" applyFont="1" applyFill="1" applyBorder="1" applyAlignment="1">
      <alignment horizontal="justify" vertical="center" wrapText="1"/>
    </xf>
    <xf numFmtId="0" fontId="65" fillId="19" borderId="0" xfId="0" applyFont="1" applyFill="1" applyBorder="1" applyAlignment="1">
      <alignment horizontal="center"/>
    </xf>
    <xf numFmtId="168" fontId="62" fillId="27" borderId="39" xfId="1" applyNumberFormat="1" applyFont="1" applyFill="1" applyBorder="1" applyAlignment="1">
      <alignment horizontal="right" vertical="center"/>
    </xf>
    <xf numFmtId="0" fontId="57" fillId="0" borderId="43" xfId="0" applyFont="1" applyFill="1" applyBorder="1" applyAlignment="1">
      <alignment horizontal="right"/>
    </xf>
    <xf numFmtId="0" fontId="46" fillId="0" borderId="18" xfId="0" applyFont="1" applyFill="1" applyBorder="1" applyAlignment="1">
      <alignment horizontal="justify" vertical="center" wrapText="1"/>
    </xf>
    <xf numFmtId="0" fontId="58" fillId="0" borderId="16" xfId="0" applyFont="1" applyFill="1" applyBorder="1" applyAlignment="1">
      <alignment horizontal="justify" vertical="center" wrapText="1"/>
    </xf>
    <xf numFmtId="168" fontId="65" fillId="19" borderId="44" xfId="1" applyNumberFormat="1" applyFont="1" applyFill="1" applyBorder="1" applyAlignment="1">
      <alignment horizontal="center" vertical="center"/>
    </xf>
    <xf numFmtId="9" fontId="65" fillId="19" borderId="0" xfId="1" applyFont="1" applyFill="1" applyBorder="1" applyAlignment="1">
      <alignment horizontal="center" vertical="center"/>
    </xf>
    <xf numFmtId="168" fontId="65" fillId="20" borderId="37" xfId="1" applyNumberFormat="1" applyFont="1" applyFill="1" applyBorder="1" applyAlignment="1">
      <alignment horizontal="center" vertical="center"/>
    </xf>
    <xf numFmtId="9" fontId="65" fillId="20" borderId="44" xfId="1" applyFont="1" applyFill="1" applyBorder="1" applyAlignment="1">
      <alignment horizontal="center" vertical="center"/>
    </xf>
    <xf numFmtId="168" fontId="65" fillId="20" borderId="0" xfId="1" applyNumberFormat="1" applyFont="1" applyFill="1" applyBorder="1" applyAlignment="1">
      <alignment horizontal="center" vertical="center"/>
    </xf>
    <xf numFmtId="168" fontId="65" fillId="19" borderId="0" xfId="1" applyNumberFormat="1" applyFont="1" applyFill="1" applyBorder="1" applyAlignment="1">
      <alignment horizontal="center" vertical="center"/>
    </xf>
    <xf numFmtId="168" fontId="65" fillId="19" borderId="24" xfId="1" applyNumberFormat="1" applyFont="1" applyFill="1" applyBorder="1" applyAlignment="1">
      <alignment horizontal="center" vertical="center"/>
    </xf>
    <xf numFmtId="0" fontId="57" fillId="0" borderId="0" xfId="0" applyFont="1" applyFill="1" applyBorder="1" applyAlignment="1">
      <alignment horizontal="right"/>
    </xf>
    <xf numFmtId="0" fontId="46" fillId="0" borderId="43" xfId="0" applyFont="1" applyFill="1" applyBorder="1" applyAlignment="1"/>
    <xf numFmtId="0" fontId="46" fillId="0" borderId="0" xfId="0" applyFont="1" applyFill="1" applyBorder="1" applyAlignment="1"/>
    <xf numFmtId="168" fontId="65" fillId="0" borderId="44" xfId="1" applyNumberFormat="1" applyFont="1" applyFill="1" applyBorder="1" applyAlignment="1">
      <alignment horizontal="center" vertical="center"/>
    </xf>
    <xf numFmtId="9" fontId="65" fillId="0" borderId="0" xfId="1" applyFont="1" applyFill="1" applyBorder="1" applyAlignment="1">
      <alignment horizontal="center" vertical="center"/>
    </xf>
    <xf numFmtId="168" fontId="65" fillId="0" borderId="37" xfId="1" applyNumberFormat="1" applyFont="1" applyFill="1" applyBorder="1" applyAlignment="1">
      <alignment horizontal="center" vertical="center"/>
    </xf>
    <xf numFmtId="9" fontId="65" fillId="0" borderId="44" xfId="1" applyFont="1" applyFill="1" applyBorder="1" applyAlignment="1">
      <alignment horizontal="center" vertical="center"/>
    </xf>
    <xf numFmtId="168" fontId="65" fillId="0" borderId="0" xfId="1" applyNumberFormat="1" applyFont="1" applyFill="1" applyBorder="1" applyAlignment="1">
      <alignment horizontal="center" vertical="center"/>
    </xf>
    <xf numFmtId="168" fontId="65" fillId="0" borderId="24" xfId="1" applyNumberFormat="1" applyFont="1" applyFill="1" applyBorder="1" applyAlignment="1">
      <alignment horizontal="center" vertical="center"/>
    </xf>
    <xf numFmtId="0" fontId="64" fillId="19" borderId="0" xfId="0" applyFont="1" applyFill="1" applyBorder="1" applyAlignment="1">
      <alignment horizontal="center"/>
    </xf>
    <xf numFmtId="168" fontId="65" fillId="27" borderId="15" xfId="1" applyNumberFormat="1" applyFont="1" applyFill="1" applyBorder="1" applyAlignment="1">
      <alignment horizontal="right" vertical="center"/>
    </xf>
    <xf numFmtId="0" fontId="65" fillId="0" borderId="0" xfId="0" applyFont="1" applyFill="1" applyBorder="1" applyAlignment="1">
      <alignment horizontal="right"/>
    </xf>
    <xf numFmtId="168" fontId="65" fillId="27" borderId="39" xfId="1" applyNumberFormat="1" applyFont="1" applyFill="1" applyBorder="1" applyAlignment="1">
      <alignment horizontal="right" vertical="center"/>
    </xf>
    <xf numFmtId="9" fontId="67" fillId="19" borderId="46" xfId="1" applyFont="1" applyFill="1" applyBorder="1" applyAlignment="1">
      <alignment horizontal="right" vertical="center"/>
    </xf>
    <xf numFmtId="9" fontId="67" fillId="19" borderId="40" xfId="1" applyFont="1" applyFill="1" applyBorder="1" applyAlignment="1">
      <alignment horizontal="right" vertical="center"/>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1" fontId="62" fillId="19" borderId="36" xfId="1" applyNumberFormat="1" applyFont="1" applyFill="1" applyBorder="1" applyAlignment="1">
      <alignment horizontal="center" vertical="center"/>
    </xf>
    <xf numFmtId="0" fontId="61" fillId="0" borderId="25" xfId="0" applyFont="1" applyBorder="1" applyAlignment="1">
      <alignment horizontal="center" vertical="center" wrapText="1"/>
    </xf>
    <xf numFmtId="9" fontId="52" fillId="19" borderId="7" xfId="1" applyNumberFormat="1" applyFont="1" applyFill="1" applyBorder="1" applyAlignment="1">
      <alignment horizontal="right" vertical="center"/>
    </xf>
    <xf numFmtId="9" fontId="40" fillId="19" borderId="1" xfId="1" applyFont="1" applyFill="1" applyBorder="1" applyAlignment="1">
      <alignment horizontal="right" vertical="center"/>
    </xf>
    <xf numFmtId="0" fontId="61" fillId="0" borderId="0" xfId="0" applyNumberFormat="1" applyFont="1" applyBorder="1" applyAlignment="1">
      <alignment horizontal="center" vertical="center" wrapText="1"/>
    </xf>
    <xf numFmtId="0" fontId="52" fillId="19" borderId="7" xfId="1" applyNumberFormat="1" applyFont="1" applyFill="1" applyBorder="1" applyAlignment="1">
      <alignment horizontal="right" vertical="center"/>
    </xf>
    <xf numFmtId="0" fontId="58" fillId="0" borderId="12" xfId="0" applyFont="1" applyFill="1" applyBorder="1" applyAlignment="1">
      <alignment horizontal="justify" vertical="center" wrapText="1"/>
    </xf>
    <xf numFmtId="0" fontId="61" fillId="0" borderId="0" xfId="0" applyNumberFormat="1" applyFont="1" applyFill="1" applyBorder="1" applyAlignment="1">
      <alignment horizontal="center" vertical="center" wrapText="1"/>
    </xf>
    <xf numFmtId="9" fontId="62" fillId="0" borderId="36" xfId="0" applyNumberFormat="1" applyFont="1" applyFill="1" applyBorder="1" applyAlignment="1">
      <alignment horizontal="center" vertical="center"/>
    </xf>
    <xf numFmtId="9" fontId="62" fillId="0" borderId="45" xfId="0" applyNumberFormat="1" applyFont="1" applyFill="1" applyBorder="1" applyAlignment="1">
      <alignment horizontal="center" vertical="center"/>
    </xf>
    <xf numFmtId="9" fontId="62" fillId="0" borderId="0" xfId="0" applyNumberFormat="1" applyFont="1" applyFill="1" applyBorder="1" applyAlignment="1">
      <alignment horizontal="center" vertical="center"/>
    </xf>
    <xf numFmtId="0" fontId="58" fillId="0" borderId="10" xfId="0" applyFont="1" applyFill="1" applyBorder="1" applyAlignment="1">
      <alignment horizontal="justify" vertical="center" wrapText="1"/>
    </xf>
    <xf numFmtId="0" fontId="57" fillId="0" borderId="0" xfId="0" applyFont="1" applyFill="1" applyAlignment="1">
      <alignment horizontal="right"/>
    </xf>
    <xf numFmtId="0" fontId="58" fillId="0" borderId="16" xfId="0" applyFont="1" applyBorder="1" applyAlignment="1">
      <alignment horizontal="justify" vertical="center" wrapText="1"/>
    </xf>
    <xf numFmtId="168" fontId="65" fillId="20" borderId="39" xfId="1" applyNumberFormat="1" applyFont="1" applyFill="1" applyBorder="1" applyAlignment="1">
      <alignment horizontal="center" vertical="center"/>
    </xf>
    <xf numFmtId="9" fontId="65" fillId="20" borderId="40" xfId="1" applyFont="1" applyFill="1" applyBorder="1" applyAlignment="1">
      <alignment horizontal="center" vertical="center"/>
    </xf>
    <xf numFmtId="168" fontId="65" fillId="20" borderId="34" xfId="1" applyNumberFormat="1" applyFont="1" applyFill="1" applyBorder="1" applyAlignment="1">
      <alignment horizontal="center" vertical="center"/>
    </xf>
    <xf numFmtId="0" fontId="46" fillId="0" borderId="18" xfId="0" applyFont="1" applyBorder="1" applyAlignment="1">
      <alignment horizontal="justify" vertical="center" wrapText="1"/>
    </xf>
    <xf numFmtId="0" fontId="61" fillId="0" borderId="48"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0" xfId="0" applyFont="1" applyBorder="1" applyAlignment="1">
      <alignment horizontal="center" vertical="center" wrapText="1"/>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0" fontId="46" fillId="0" borderId="4" xfId="0" applyFont="1" applyFill="1" applyBorder="1" applyAlignment="1">
      <alignment horizontal="center" vertical="center" wrapText="1"/>
    </xf>
    <xf numFmtId="168" fontId="65" fillId="27" borderId="41" xfId="1" applyNumberFormat="1" applyFont="1" applyFill="1" applyBorder="1" applyAlignment="1">
      <alignment horizontal="right" vertical="center"/>
    </xf>
    <xf numFmtId="0" fontId="65" fillId="20" borderId="40" xfId="1" applyNumberFormat="1" applyFont="1" applyFill="1" applyBorder="1" applyAlignment="1">
      <alignment horizontal="center" vertical="center"/>
    </xf>
    <xf numFmtId="9" fontId="62" fillId="19" borderId="37" xfId="0" applyNumberFormat="1" applyFont="1" applyFill="1" applyBorder="1" applyAlignment="1">
      <alignment horizontal="center" vertical="center"/>
    </xf>
    <xf numFmtId="0" fontId="69" fillId="19" borderId="0" xfId="0" applyFont="1" applyFill="1"/>
    <xf numFmtId="0" fontId="44" fillId="19" borderId="0" xfId="0" applyFont="1" applyFill="1"/>
    <xf numFmtId="0" fontId="70" fillId="0" borderId="0" xfId="0" applyFont="1" applyBorder="1" applyAlignment="1">
      <alignment horizontal="left"/>
    </xf>
    <xf numFmtId="168" fontId="71" fillId="27" borderId="39" xfId="1" applyNumberFormat="1" applyFont="1" applyFill="1" applyBorder="1" applyAlignment="1">
      <alignment horizontal="right" vertical="center"/>
    </xf>
    <xf numFmtId="9" fontId="72" fillId="19" borderId="46" xfId="1" applyNumberFormat="1" applyFont="1" applyFill="1" applyBorder="1" applyAlignment="1">
      <alignment horizontal="right" vertical="center"/>
    </xf>
    <xf numFmtId="9" fontId="72" fillId="19" borderId="40" xfId="1" applyFont="1" applyFill="1" applyBorder="1" applyAlignment="1">
      <alignment horizontal="right" vertical="center"/>
    </xf>
    <xf numFmtId="9" fontId="39" fillId="19" borderId="40" xfId="1" applyNumberFormat="1" applyFont="1" applyFill="1" applyBorder="1" applyAlignment="1">
      <alignment horizontal="right" vertical="center"/>
    </xf>
    <xf numFmtId="0" fontId="42" fillId="0" borderId="26" xfId="0" applyFont="1" applyBorder="1" applyAlignment="1">
      <alignment horizontal="justify" vertical="center" wrapText="1"/>
    </xf>
    <xf numFmtId="9" fontId="62" fillId="19" borderId="36" xfId="0" applyNumberFormat="1" applyFont="1" applyFill="1" applyBorder="1" applyAlignment="1">
      <alignment horizontal="center" vertical="center"/>
    </xf>
    <xf numFmtId="0" fontId="46" fillId="0" borderId="18" xfId="0" applyFont="1" applyFill="1" applyBorder="1" applyAlignment="1">
      <alignment horizontal="justify" vertical="center" wrapText="1"/>
    </xf>
    <xf numFmtId="0" fontId="46"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9" fontId="62" fillId="19" borderId="38" xfId="0" applyNumberFormat="1" applyFont="1" applyFill="1" applyBorder="1" applyAlignment="1">
      <alignment horizontal="center" vertical="center"/>
    </xf>
    <xf numFmtId="0" fontId="46" fillId="0" borderId="4" xfId="0" applyFont="1" applyFill="1" applyBorder="1" applyAlignment="1">
      <alignment horizontal="justify" vertical="center" wrapText="1"/>
    </xf>
    <xf numFmtId="9" fontId="62" fillId="19" borderId="36" xfId="0" applyNumberFormat="1" applyFont="1" applyFill="1" applyBorder="1" applyAlignment="1">
      <alignment horizontal="center" vertical="center"/>
    </xf>
    <xf numFmtId="0" fontId="9" fillId="0" borderId="0" xfId="0" applyFont="1" applyFill="1"/>
    <xf numFmtId="0" fontId="48" fillId="0" borderId="41" xfId="0" applyFont="1" applyBorder="1" applyAlignment="1">
      <alignment horizontal="center" vertical="center"/>
    </xf>
    <xf numFmtId="0" fontId="50" fillId="17" borderId="7" xfId="0" applyFont="1" applyFill="1" applyBorder="1" applyAlignment="1">
      <alignment horizontal="center" vertical="center" wrapText="1" readingOrder="1"/>
    </xf>
    <xf numFmtId="0" fontId="50" fillId="8" borderId="7" xfId="0" applyFont="1" applyFill="1" applyBorder="1" applyAlignment="1">
      <alignment horizontal="center" vertical="center" wrapText="1" readingOrder="1"/>
    </xf>
    <xf numFmtId="0" fontId="50" fillId="9" borderId="7" xfId="0" applyFont="1" applyFill="1" applyBorder="1" applyAlignment="1">
      <alignment horizontal="center" vertical="center" wrapText="1" readingOrder="1"/>
    </xf>
    <xf numFmtId="9" fontId="50" fillId="10" borderId="7" xfId="0" applyNumberFormat="1" applyFont="1" applyFill="1" applyBorder="1" applyAlignment="1">
      <alignment horizontal="center" vertical="center" wrapText="1" readingOrder="1"/>
    </xf>
    <xf numFmtId="0" fontId="50" fillId="16" borderId="9" xfId="0" applyFont="1" applyFill="1" applyBorder="1" applyAlignment="1">
      <alignment horizontal="center" vertical="center" wrapText="1" readingOrder="1"/>
    </xf>
    <xf numFmtId="9" fontId="50" fillId="16" borderId="9" xfId="0" applyNumberFormat="1" applyFont="1" applyFill="1" applyBorder="1" applyAlignment="1">
      <alignment horizontal="center" vertical="center" wrapText="1" readingOrder="1"/>
    </xf>
    <xf numFmtId="0" fontId="42" fillId="0" borderId="62" xfId="0" applyFont="1" applyBorder="1"/>
    <xf numFmtId="0" fontId="42" fillId="0" borderId="0" xfId="0" applyFont="1" applyBorder="1" applyAlignment="1">
      <alignment horizontal="justify" vertical="center" wrapText="1"/>
    </xf>
    <xf numFmtId="0" fontId="42" fillId="0" borderId="66" xfId="0" applyFont="1" applyBorder="1" applyAlignment="1">
      <alignment horizontal="justify" vertical="center" wrapText="1"/>
    </xf>
    <xf numFmtId="0" fontId="32" fillId="0" borderId="0" xfId="0" applyFont="1" applyAlignment="1">
      <alignment horizontal="left"/>
    </xf>
    <xf numFmtId="0" fontId="45"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3"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4" fillId="0" borderId="29" xfId="0" applyFont="1" applyBorder="1" applyAlignment="1">
      <alignment horizontal="center"/>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78" fillId="0" borderId="68" xfId="0" applyFont="1" applyBorder="1" applyAlignment="1">
      <alignment horizontal="center" vertical="center" wrapText="1"/>
    </xf>
    <xf numFmtId="0" fontId="78" fillId="0" borderId="29" xfId="0" applyFont="1" applyBorder="1" applyAlignment="1">
      <alignment horizontal="center" vertical="center" wrapText="1"/>
    </xf>
    <xf numFmtId="0" fontId="49" fillId="0" borderId="0" xfId="0" applyFont="1"/>
    <xf numFmtId="0" fontId="7" fillId="0" borderId="1" xfId="0" applyFont="1" applyBorder="1" applyAlignment="1">
      <alignment horizontal="center"/>
    </xf>
    <xf numFmtId="0" fontId="49" fillId="0" borderId="1" xfId="0" applyFont="1" applyBorder="1"/>
    <xf numFmtId="0" fontId="49" fillId="0" borderId="1" xfId="0" applyFont="1" applyBorder="1" applyAlignment="1">
      <alignment horizontal="justify" vertical="center"/>
    </xf>
    <xf numFmtId="14" fontId="49" fillId="0" borderId="1" xfId="0" applyNumberFormat="1" applyFont="1" applyBorder="1" applyAlignment="1">
      <alignment horizontal="justify" vertical="center"/>
    </xf>
    <xf numFmtId="0" fontId="49" fillId="0" borderId="1" xfId="0" applyFont="1" applyBorder="1" applyAlignment="1">
      <alignment horizontal="justify" vertical="center" wrapText="1"/>
    </xf>
    <xf numFmtId="0" fontId="49" fillId="0" borderId="1" xfId="0" applyFont="1" applyBorder="1" applyAlignment="1">
      <alignment horizontal="center" vertical="center"/>
    </xf>
    <xf numFmtId="0" fontId="79" fillId="0" borderId="0" xfId="0" applyFont="1"/>
    <xf numFmtId="0" fontId="80" fillId="26" borderId="13" xfId="0" applyFont="1" applyFill="1" applyBorder="1" applyAlignment="1">
      <alignment horizontal="center" vertical="center" wrapText="1"/>
    </xf>
    <xf numFmtId="0" fontId="80" fillId="26" borderId="30" xfId="0" applyFont="1" applyFill="1" applyBorder="1" applyAlignment="1">
      <alignment horizontal="center" vertical="center" wrapText="1"/>
    </xf>
    <xf numFmtId="0" fontId="80" fillId="26" borderId="31" xfId="0" applyFont="1" applyFill="1" applyBorder="1" applyAlignment="1">
      <alignment horizontal="center" vertical="center" wrapText="1"/>
    </xf>
    <xf numFmtId="0" fontId="80" fillId="26" borderId="32" xfId="0" applyFont="1" applyFill="1" applyBorder="1" applyAlignment="1">
      <alignment horizontal="center" vertical="center" wrapText="1"/>
    </xf>
    <xf numFmtId="0" fontId="80" fillId="27" borderId="30" xfId="0" applyFont="1" applyFill="1" applyBorder="1" applyAlignment="1">
      <alignment horizontal="center" vertical="center" wrapText="1"/>
    </xf>
    <xf numFmtId="0" fontId="80" fillId="8" borderId="30" xfId="0" applyFont="1" applyFill="1" applyBorder="1" applyAlignment="1">
      <alignment horizontal="center" vertical="center" wrapText="1"/>
    </xf>
    <xf numFmtId="0" fontId="6" fillId="0" borderId="0" xfId="0" applyFont="1" applyFill="1"/>
    <xf numFmtId="0" fontId="6" fillId="0" borderId="0" xfId="0" applyFont="1" applyAlignment="1">
      <alignment horizontal="center"/>
    </xf>
    <xf numFmtId="0" fontId="81" fillId="0" borderId="7" xfId="0" applyFont="1" applyFill="1" applyBorder="1" applyAlignment="1">
      <alignment horizontal="right" vertical="center"/>
    </xf>
    <xf numFmtId="0" fontId="81" fillId="0" borderId="1" xfId="0" applyFont="1" applyFill="1" applyBorder="1" applyAlignment="1">
      <alignment horizontal="justify" vertical="center" wrapText="1"/>
    </xf>
    <xf numFmtId="0" fontId="81" fillId="0" borderId="1" xfId="0" applyFont="1" applyFill="1" applyBorder="1" applyAlignment="1">
      <alignment horizontal="right" vertical="center"/>
    </xf>
    <xf numFmtId="0" fontId="81" fillId="0" borderId="1" xfId="0" applyFont="1" applyFill="1" applyBorder="1" applyAlignment="1">
      <alignment horizontal="center" vertical="center"/>
    </xf>
    <xf numFmtId="9" fontId="81" fillId="0" borderId="1" xfId="0" applyNumberFormat="1" applyFont="1" applyFill="1" applyBorder="1" applyAlignment="1">
      <alignment horizontal="right" vertical="center"/>
    </xf>
    <xf numFmtId="42" fontId="81" fillId="0" borderId="1" xfId="5" applyFont="1" applyFill="1" applyBorder="1" applyAlignment="1">
      <alignment horizontal="right" vertical="center"/>
    </xf>
    <xf numFmtId="9" fontId="81" fillId="0" borderId="1" xfId="1" applyFont="1" applyFill="1" applyBorder="1" applyAlignment="1">
      <alignment horizontal="right" vertical="center"/>
    </xf>
    <xf numFmtId="9" fontId="81" fillId="0" borderId="1" xfId="1" applyFont="1" applyFill="1" applyBorder="1" applyAlignment="1">
      <alignment horizontal="justify" vertical="center" wrapText="1"/>
    </xf>
    <xf numFmtId="42" fontId="81" fillId="0" borderId="1" xfId="1" applyNumberFormat="1" applyFont="1" applyFill="1" applyBorder="1" applyAlignment="1">
      <alignment horizontal="right" vertical="center"/>
    </xf>
    <xf numFmtId="0" fontId="81" fillId="0" borderId="1" xfId="0" applyFont="1" applyFill="1" applyBorder="1" applyAlignment="1">
      <alignment horizontal="justify" vertical="center"/>
    </xf>
    <xf numFmtId="9" fontId="81" fillId="0" borderId="1" xfId="1" applyNumberFormat="1" applyFont="1" applyFill="1" applyBorder="1" applyAlignment="1">
      <alignment horizontal="right" vertical="center"/>
    </xf>
    <xf numFmtId="0" fontId="81" fillId="0" borderId="1" xfId="0" applyFont="1" applyFill="1" applyBorder="1"/>
    <xf numFmtId="9" fontId="81" fillId="0" borderId="1" xfId="1" applyFont="1" applyFill="1" applyBorder="1"/>
    <xf numFmtId="9" fontId="81" fillId="0" borderId="1" xfId="0" applyNumberFormat="1" applyFont="1" applyFill="1" applyBorder="1" applyAlignment="1">
      <alignment horizontal="justify" vertical="center" wrapText="1"/>
    </xf>
    <xf numFmtId="42" fontId="81" fillId="0" borderId="1" xfId="5" applyFont="1" applyFill="1" applyBorder="1"/>
    <xf numFmtId="0" fontId="81" fillId="0" borderId="59" xfId="0" applyFont="1" applyFill="1" applyBorder="1" applyAlignment="1">
      <alignment horizontal="justify" vertical="center" wrapText="1"/>
    </xf>
    <xf numFmtId="9" fontId="81" fillId="0" borderId="1" xfId="0" applyNumberFormat="1" applyFont="1" applyFill="1" applyBorder="1" applyAlignment="1">
      <alignment horizontal="justify" vertical="center"/>
    </xf>
    <xf numFmtId="42" fontId="81" fillId="0" borderId="4" xfId="1" applyNumberFormat="1" applyFont="1" applyFill="1" applyBorder="1" applyAlignment="1">
      <alignment vertical="center"/>
    </xf>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81" fillId="0" borderId="5" xfId="0" applyFont="1" applyFill="1" applyBorder="1" applyAlignment="1">
      <alignment horizontal="right" vertical="center"/>
    </xf>
    <xf numFmtId="0" fontId="81" fillId="0" borderId="28" xfId="0" applyFont="1" applyFill="1" applyBorder="1" applyAlignment="1">
      <alignment horizontal="justify" vertical="center" wrapText="1"/>
    </xf>
    <xf numFmtId="0" fontId="81" fillId="0" borderId="28" xfId="0" applyFont="1" applyFill="1" applyBorder="1" applyAlignment="1">
      <alignment horizontal="right" vertical="center"/>
    </xf>
    <xf numFmtId="0" fontId="81" fillId="0" borderId="28" xfId="0" applyFont="1" applyFill="1" applyBorder="1" applyAlignment="1">
      <alignment horizontal="center" vertical="center"/>
    </xf>
    <xf numFmtId="42" fontId="81" fillId="0" borderId="28" xfId="5" applyFont="1" applyFill="1" applyBorder="1" applyAlignment="1">
      <alignment horizontal="right" vertical="center"/>
    </xf>
    <xf numFmtId="9" fontId="81" fillId="0" borderId="28" xfId="1" applyFont="1" applyFill="1" applyBorder="1" applyAlignment="1">
      <alignment horizontal="right" vertical="center"/>
    </xf>
    <xf numFmtId="42" fontId="81" fillId="0" borderId="28" xfId="0" applyNumberFormat="1" applyFont="1" applyFill="1" applyBorder="1" applyAlignment="1">
      <alignment horizontal="right" vertical="center"/>
    </xf>
    <xf numFmtId="0" fontId="81" fillId="0" borderId="28" xfId="0" applyFont="1" applyFill="1" applyBorder="1" applyAlignment="1">
      <alignment horizontal="justify" vertical="center"/>
    </xf>
    <xf numFmtId="0" fontId="81" fillId="0" borderId="28" xfId="0" applyFont="1" applyFill="1" applyBorder="1" applyAlignment="1">
      <alignment vertical="center"/>
    </xf>
    <xf numFmtId="9" fontId="81" fillId="0" borderId="28" xfId="1" applyNumberFormat="1" applyFont="1" applyFill="1" applyBorder="1" applyAlignment="1">
      <alignment horizontal="right" vertical="center"/>
    </xf>
    <xf numFmtId="0" fontId="81" fillId="0" borderId="28" xfId="0" applyFont="1" applyFill="1" applyBorder="1"/>
    <xf numFmtId="169" fontId="81" fillId="0" borderId="1" xfId="0" applyNumberFormat="1" applyFont="1" applyFill="1" applyBorder="1"/>
    <xf numFmtId="1" fontId="81" fillId="0" borderId="1" xfId="0" applyNumberFormat="1" applyFont="1" applyFill="1" applyBorder="1" applyAlignment="1">
      <alignment horizontal="right" vertical="center"/>
    </xf>
    <xf numFmtId="1" fontId="81" fillId="0" borderId="1" xfId="1" applyNumberFormat="1" applyFont="1" applyFill="1" applyBorder="1" applyAlignment="1">
      <alignment horizontal="right" vertical="center"/>
    </xf>
    <xf numFmtId="1" fontId="81" fillId="0" borderId="1" xfId="1" applyNumberFormat="1" applyFont="1" applyFill="1" applyBorder="1" applyAlignment="1">
      <alignment vertical="center"/>
    </xf>
    <xf numFmtId="9" fontId="81" fillId="0" borderId="4" xfId="1" applyNumberFormat="1" applyFont="1" applyFill="1" applyBorder="1" applyAlignment="1">
      <alignment horizontal="center" vertical="center"/>
    </xf>
    <xf numFmtId="9" fontId="81" fillId="0" borderId="17" xfId="1" applyNumberFormat="1" applyFont="1" applyFill="1" applyBorder="1" applyAlignment="1">
      <alignment horizontal="center" vertical="center"/>
    </xf>
    <xf numFmtId="9" fontId="81" fillId="0" borderId="18" xfId="1" applyNumberFormat="1" applyFont="1" applyFill="1" applyBorder="1" applyAlignment="1">
      <alignment horizontal="center" vertical="center"/>
    </xf>
    <xf numFmtId="1" fontId="81" fillId="0" borderId="1" xfId="1" applyNumberFormat="1" applyFont="1" applyFill="1" applyBorder="1"/>
    <xf numFmtId="10" fontId="81" fillId="0" borderId="1" xfId="1" applyNumberFormat="1" applyFont="1" applyFill="1" applyBorder="1" applyAlignment="1">
      <alignment horizontal="right" vertical="center"/>
    </xf>
    <xf numFmtId="41" fontId="81" fillId="0" borderId="1" xfId="3" applyFont="1" applyFill="1" applyBorder="1" applyAlignment="1">
      <alignment horizontal="right" vertical="center"/>
    </xf>
    <xf numFmtId="9" fontId="81" fillId="0" borderId="1" xfId="3" applyNumberFormat="1" applyFont="1" applyFill="1" applyBorder="1" applyAlignment="1">
      <alignment horizontal="right" vertical="center"/>
    </xf>
    <xf numFmtId="0" fontId="81" fillId="0" borderId="1" xfId="1" applyNumberFormat="1" applyFont="1" applyFill="1" applyBorder="1" applyAlignment="1">
      <alignment horizontal="right" vertical="center"/>
    </xf>
    <xf numFmtId="0" fontId="81" fillId="0" borderId="1" xfId="0" applyNumberFormat="1" applyFont="1" applyFill="1" applyBorder="1" applyAlignment="1">
      <alignment horizontal="right" vertical="center"/>
    </xf>
    <xf numFmtId="1" fontId="81" fillId="0" borderId="1" xfId="0" applyNumberFormat="1" applyFont="1" applyFill="1" applyBorder="1" applyAlignment="1">
      <alignment horizontal="center" vertical="center" wrapText="1"/>
    </xf>
    <xf numFmtId="0" fontId="81" fillId="0" borderId="18" xfId="0" applyFont="1" applyFill="1" applyBorder="1" applyAlignment="1">
      <alignment horizontal="justify" vertical="center" wrapText="1"/>
    </xf>
    <xf numFmtId="0" fontId="81" fillId="0" borderId="18" xfId="0" applyFont="1" applyFill="1" applyBorder="1" applyAlignment="1">
      <alignment horizontal="right" vertical="center"/>
    </xf>
    <xf numFmtId="0" fontId="81" fillId="0" borderId="18" xfId="0" applyFont="1" applyFill="1" applyBorder="1" applyAlignment="1">
      <alignment horizontal="center" vertical="center"/>
    </xf>
    <xf numFmtId="42" fontId="81" fillId="0" borderId="18" xfId="5" applyFont="1" applyFill="1" applyBorder="1" applyAlignment="1">
      <alignment horizontal="right" vertical="center"/>
    </xf>
    <xf numFmtId="9" fontId="81" fillId="0" borderId="18" xfId="1" applyFont="1" applyFill="1" applyBorder="1" applyAlignment="1">
      <alignment horizontal="right" vertical="center"/>
    </xf>
    <xf numFmtId="42" fontId="81" fillId="0" borderId="18" xfId="0" applyNumberFormat="1" applyFont="1" applyFill="1" applyBorder="1" applyAlignment="1">
      <alignment horizontal="right" vertical="center"/>
    </xf>
    <xf numFmtId="0" fontId="81" fillId="0" borderId="18" xfId="0" applyFont="1" applyFill="1" applyBorder="1" applyAlignment="1">
      <alignment horizontal="justify" vertical="center"/>
    </xf>
    <xf numFmtId="0" fontId="81" fillId="0" borderId="18" xfId="0" applyFont="1" applyFill="1" applyBorder="1" applyAlignment="1">
      <alignment vertical="center"/>
    </xf>
    <xf numFmtId="9" fontId="81" fillId="0" borderId="18" xfId="1" applyNumberFormat="1" applyFont="1" applyFill="1" applyBorder="1" applyAlignment="1">
      <alignment horizontal="right" vertical="center"/>
    </xf>
    <xf numFmtId="0" fontId="81" fillId="0" borderId="18" xfId="0" applyFont="1" applyFill="1" applyBorder="1"/>
    <xf numFmtId="42" fontId="81" fillId="0" borderId="1" xfId="5" applyFont="1" applyFill="1" applyBorder="1" applyAlignment="1">
      <alignment horizontal="center" vertical="center"/>
    </xf>
    <xf numFmtId="9" fontId="81" fillId="0" borderId="1" xfId="0" applyNumberFormat="1" applyFont="1" applyFill="1" applyBorder="1" applyAlignment="1">
      <alignment horizontal="center" vertical="center"/>
    </xf>
    <xf numFmtId="10" fontId="81" fillId="0" borderId="1" xfId="0" applyNumberFormat="1" applyFont="1" applyFill="1" applyBorder="1" applyAlignment="1">
      <alignment horizontal="right" vertical="center"/>
    </xf>
    <xf numFmtId="9" fontId="81" fillId="0" borderId="1" xfId="0" applyNumberFormat="1" applyFont="1" applyFill="1" applyBorder="1" applyAlignment="1">
      <alignment horizontal="right" vertical="center" wrapText="1"/>
    </xf>
    <xf numFmtId="1" fontId="81" fillId="0" borderId="1" xfId="0" applyNumberFormat="1" applyFont="1" applyFill="1" applyBorder="1" applyAlignment="1">
      <alignment horizontal="justify" vertical="center"/>
    </xf>
    <xf numFmtId="42" fontId="81" fillId="0" borderId="1" xfId="5" applyFont="1" applyFill="1" applyBorder="1" applyAlignment="1">
      <alignment vertical="center"/>
    </xf>
    <xf numFmtId="9" fontId="81" fillId="0" borderId="1" xfId="1" applyFont="1" applyFill="1" applyBorder="1" applyAlignment="1">
      <alignment vertical="center"/>
    </xf>
    <xf numFmtId="9" fontId="81" fillId="0" borderId="4" xfId="0" applyNumberFormat="1" applyFont="1" applyFill="1" applyBorder="1" applyAlignment="1">
      <alignment horizontal="center" vertical="center"/>
    </xf>
    <xf numFmtId="9" fontId="81" fillId="0" borderId="17" xfId="0" applyNumberFormat="1" applyFont="1" applyFill="1" applyBorder="1" applyAlignment="1">
      <alignment horizontal="center" vertical="center"/>
    </xf>
    <xf numFmtId="9" fontId="81" fillId="0" borderId="1" xfId="1" applyNumberFormat="1" applyFont="1" applyFill="1" applyBorder="1" applyAlignment="1">
      <alignment horizontal="right" vertical="center" wrapText="1"/>
    </xf>
    <xf numFmtId="9" fontId="81" fillId="0" borderId="4" xfId="1" applyNumberFormat="1" applyFont="1" applyFill="1" applyBorder="1" applyAlignment="1">
      <alignment vertical="center"/>
    </xf>
    <xf numFmtId="9" fontId="81" fillId="0" borderId="4" xfId="0" applyNumberFormat="1" applyFont="1" applyFill="1" applyBorder="1" applyAlignment="1">
      <alignment vertical="center"/>
    </xf>
    <xf numFmtId="9" fontId="81" fillId="0" borderId="18" xfId="0" applyNumberFormat="1" applyFont="1" applyFill="1" applyBorder="1" applyAlignment="1">
      <alignment horizontal="center" vertical="center"/>
    </xf>
    <xf numFmtId="42" fontId="81" fillId="0" borderId="4" xfId="5" applyFont="1" applyFill="1" applyBorder="1" applyAlignment="1">
      <alignment vertical="center"/>
    </xf>
    <xf numFmtId="42" fontId="81" fillId="0" borderId="18" xfId="5" applyFont="1" applyFill="1" applyBorder="1" applyAlignment="1">
      <alignment vertical="center"/>
    </xf>
    <xf numFmtId="42" fontId="81" fillId="0" borderId="18" xfId="1" applyNumberFormat="1" applyFont="1" applyFill="1" applyBorder="1" applyAlignment="1">
      <alignment vertical="center"/>
    </xf>
    <xf numFmtId="0" fontId="81" fillId="0" borderId="11" xfId="0" applyFont="1" applyFill="1" applyBorder="1" applyAlignment="1">
      <alignment horizontal="right" vertical="center"/>
    </xf>
    <xf numFmtId="0" fontId="81" fillId="0" borderId="4" xfId="0" applyFont="1" applyFill="1" applyBorder="1" applyAlignment="1">
      <alignment horizontal="justify" vertical="center" wrapText="1"/>
    </xf>
    <xf numFmtId="0" fontId="81" fillId="0" borderId="4" xfId="0" applyFont="1" applyFill="1" applyBorder="1" applyAlignment="1">
      <alignment horizontal="right" vertical="center"/>
    </xf>
    <xf numFmtId="0" fontId="81" fillId="0" borderId="4" xfId="0" applyFont="1" applyFill="1" applyBorder="1" applyAlignment="1">
      <alignment horizontal="center" vertical="center"/>
    </xf>
    <xf numFmtId="9" fontId="81" fillId="0" borderId="4" xfId="0" applyNumberFormat="1" applyFont="1" applyFill="1" applyBorder="1" applyAlignment="1">
      <alignment horizontal="right" vertical="center"/>
    </xf>
    <xf numFmtId="42" fontId="81" fillId="0" borderId="4" xfId="5" applyFont="1" applyFill="1" applyBorder="1" applyAlignment="1">
      <alignment horizontal="right" vertical="center"/>
    </xf>
    <xf numFmtId="9" fontId="81" fillId="0" borderId="4" xfId="1" applyFont="1" applyFill="1" applyBorder="1" applyAlignment="1">
      <alignment horizontal="right" vertical="center"/>
    </xf>
    <xf numFmtId="9" fontId="81" fillId="0" borderId="4" xfId="1" applyFont="1" applyFill="1" applyBorder="1" applyAlignment="1">
      <alignment horizontal="justify" vertical="center" wrapText="1"/>
    </xf>
    <xf numFmtId="42" fontId="81" fillId="0" borderId="4" xfId="1" applyNumberFormat="1" applyFont="1" applyFill="1" applyBorder="1" applyAlignment="1">
      <alignment horizontal="right" vertical="center"/>
    </xf>
    <xf numFmtId="0" fontId="81" fillId="0" borderId="4" xfId="0" applyFont="1" applyFill="1" applyBorder="1" applyAlignment="1">
      <alignment horizontal="justify" vertical="center"/>
    </xf>
    <xf numFmtId="9" fontId="81" fillId="0" borderId="4" xfId="1" applyNumberFormat="1" applyFont="1" applyFill="1" applyBorder="1" applyAlignment="1">
      <alignment horizontal="right" vertical="center"/>
    </xf>
    <xf numFmtId="0" fontId="81" fillId="0" borderId="20" xfId="0" applyFont="1" applyFill="1" applyBorder="1" applyAlignment="1">
      <alignment horizontal="justify" vertical="center" wrapText="1"/>
    </xf>
    <xf numFmtId="0" fontId="81" fillId="0" borderId="4" xfId="0" applyFont="1" applyFill="1" applyBorder="1"/>
    <xf numFmtId="9" fontId="81" fillId="0" borderId="4" xfId="1" applyFont="1" applyFill="1" applyBorder="1"/>
    <xf numFmtId="9" fontId="81" fillId="0" borderId="4" xfId="0" applyNumberFormat="1" applyFont="1" applyFill="1" applyBorder="1" applyAlignment="1">
      <alignment horizontal="justify" vertical="center" wrapText="1"/>
    </xf>
    <xf numFmtId="42" fontId="81" fillId="0" borderId="4" xfId="5" applyFont="1" applyFill="1" applyBorder="1"/>
    <xf numFmtId="9" fontId="81" fillId="0" borderId="1" xfId="0" applyNumberFormat="1" applyFont="1" applyFill="1" applyBorder="1"/>
    <xf numFmtId="42" fontId="81" fillId="0" borderId="28" xfId="5" applyFont="1" applyFill="1" applyBorder="1" applyAlignment="1">
      <alignment horizontal="justify" vertical="center"/>
    </xf>
    <xf numFmtId="9" fontId="81" fillId="0" borderId="28" xfId="1" applyNumberFormat="1" applyFont="1" applyFill="1" applyBorder="1" applyAlignment="1">
      <alignment horizontal="right" vertical="center" wrapText="1"/>
    </xf>
    <xf numFmtId="10" fontId="81" fillId="0" borderId="1" xfId="0" applyNumberFormat="1" applyFont="1" applyFill="1" applyBorder="1"/>
    <xf numFmtId="3" fontId="81" fillId="0" borderId="1" xfId="0" applyNumberFormat="1" applyFont="1" applyFill="1" applyBorder="1"/>
    <xf numFmtId="1" fontId="81" fillId="0" borderId="1" xfId="0" applyNumberFormat="1" applyFont="1" applyFill="1" applyBorder="1" applyAlignment="1">
      <alignment horizontal="center" vertical="center"/>
    </xf>
    <xf numFmtId="172" fontId="81" fillId="0" borderId="1" xfId="0" applyNumberFormat="1" applyFont="1" applyFill="1" applyBorder="1" applyAlignment="1">
      <alignment horizontal="center" vertical="center"/>
    </xf>
    <xf numFmtId="172" fontId="81" fillId="0" borderId="1" xfId="0" applyNumberFormat="1" applyFont="1" applyFill="1" applyBorder="1" applyAlignment="1">
      <alignment vertical="center"/>
    </xf>
    <xf numFmtId="42" fontId="81" fillId="0" borderId="1" xfId="5" applyFont="1" applyFill="1" applyBorder="1" applyAlignment="1">
      <alignment horizontal="right" vertical="center" wrapText="1"/>
    </xf>
    <xf numFmtId="10" fontId="81" fillId="0" borderId="1" xfId="0" applyNumberFormat="1" applyFont="1" applyFill="1" applyBorder="1" applyAlignment="1">
      <alignment horizontal="center" vertical="center" wrapText="1"/>
    </xf>
    <xf numFmtId="42" fontId="81" fillId="0" borderId="18" xfId="5" applyFont="1" applyFill="1" applyBorder="1" applyAlignment="1">
      <alignment horizontal="center" vertical="center"/>
    </xf>
    <xf numFmtId="10" fontId="81" fillId="0" borderId="1" xfId="0" applyNumberFormat="1" applyFont="1" applyFill="1" applyBorder="1" applyAlignment="1">
      <alignment horizontal="center" vertical="center"/>
    </xf>
    <xf numFmtId="9" fontId="81" fillId="0" borderId="1" xfId="0" applyNumberFormat="1" applyFont="1" applyFill="1" applyBorder="1" applyAlignment="1">
      <alignment vertical="center"/>
    </xf>
    <xf numFmtId="10" fontId="81" fillId="0" borderId="1" xfId="0" applyNumberFormat="1" applyFont="1" applyFill="1" applyBorder="1" applyAlignment="1">
      <alignment vertical="center"/>
    </xf>
    <xf numFmtId="9" fontId="81" fillId="0" borderId="1" xfId="1" applyFont="1" applyFill="1" applyBorder="1" applyAlignment="1">
      <alignment horizontal="center" vertical="center"/>
    </xf>
    <xf numFmtId="10" fontId="81" fillId="0" borderId="1" xfId="1" applyNumberFormat="1" applyFont="1" applyFill="1" applyBorder="1"/>
    <xf numFmtId="41" fontId="81" fillId="0" borderId="1" xfId="3" applyFont="1" applyFill="1" applyBorder="1"/>
    <xf numFmtId="0" fontId="81" fillId="0" borderId="59" xfId="0" applyFont="1" applyFill="1" applyBorder="1" applyAlignment="1">
      <alignment horizontal="justify" vertical="top" wrapText="1"/>
    </xf>
    <xf numFmtId="171" fontId="81" fillId="0" borderId="1" xfId="0" applyNumberFormat="1" applyFont="1" applyFill="1" applyBorder="1" applyAlignment="1">
      <alignment horizontal="center" vertical="center"/>
    </xf>
    <xf numFmtId="0" fontId="81" fillId="0" borderId="1" xfId="0" applyFont="1" applyFill="1" applyBorder="1" applyAlignment="1">
      <alignment vertical="center"/>
    </xf>
    <xf numFmtId="9" fontId="81" fillId="0" borderId="1" xfId="1" applyFont="1" applyFill="1" applyBorder="1" applyAlignment="1">
      <alignment horizontal="right" vertical="center" wrapText="1"/>
    </xf>
    <xf numFmtId="9" fontId="81" fillId="0" borderId="4" xfId="1" applyNumberFormat="1" applyFont="1" applyFill="1" applyBorder="1" applyAlignment="1">
      <alignment horizontal="right" vertical="center" wrapText="1"/>
    </xf>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9" fontId="84" fillId="19" borderId="6" xfId="1" applyFont="1" applyFill="1" applyBorder="1" applyAlignment="1">
      <alignment horizontal="center" vertical="center"/>
    </xf>
    <xf numFmtId="9" fontId="84" fillId="19" borderId="8" xfId="1" applyFont="1" applyFill="1" applyBorder="1" applyAlignment="1">
      <alignment horizontal="center" vertical="center"/>
    </xf>
    <xf numFmtId="9" fontId="84" fillId="19" borderId="10" xfId="1" applyFont="1" applyFill="1" applyBorder="1" applyAlignment="1">
      <alignment horizontal="center" vertical="center"/>
    </xf>
    <xf numFmtId="9" fontId="84" fillId="19" borderId="40" xfId="1" applyFont="1" applyFill="1" applyBorder="1" applyAlignment="1">
      <alignment horizontal="center" vertical="center"/>
    </xf>
    <xf numFmtId="9" fontId="85" fillId="19" borderId="56" xfId="1" applyFont="1" applyFill="1" applyBorder="1" applyAlignment="1">
      <alignment horizontal="center" vertical="center"/>
    </xf>
    <xf numFmtId="0" fontId="42" fillId="0" borderId="0" xfId="0" applyFont="1" applyAlignment="1">
      <alignment horizontal="center"/>
    </xf>
    <xf numFmtId="9" fontId="85" fillId="19" borderId="52" xfId="1" applyFont="1" applyFill="1" applyBorder="1" applyAlignment="1">
      <alignment horizontal="center" vertical="center"/>
    </xf>
    <xf numFmtId="9" fontId="85" fillId="19" borderId="53" xfId="1" applyFont="1" applyFill="1" applyBorder="1" applyAlignment="1">
      <alignment horizontal="center" vertical="center"/>
    </xf>
    <xf numFmtId="0" fontId="45" fillId="0" borderId="0" xfId="0" applyFont="1" applyAlignment="1">
      <alignment horizontal="center"/>
    </xf>
    <xf numFmtId="10" fontId="0" fillId="0" borderId="0" xfId="0" applyNumberFormat="1"/>
    <xf numFmtId="9" fontId="84" fillId="19" borderId="6" xfId="1" applyNumberFormat="1" applyFont="1" applyFill="1" applyBorder="1" applyAlignment="1">
      <alignment horizontal="center" vertical="center"/>
    </xf>
    <xf numFmtId="9" fontId="84" fillId="19" borderId="8" xfId="1" applyNumberFormat="1" applyFont="1" applyFill="1" applyBorder="1" applyAlignment="1">
      <alignment horizontal="center" vertical="center"/>
    </xf>
    <xf numFmtId="9" fontId="84" fillId="19" borderId="10" xfId="1" applyNumberFormat="1" applyFont="1" applyFill="1" applyBorder="1" applyAlignment="1">
      <alignment horizontal="center" vertical="center"/>
    </xf>
    <xf numFmtId="9" fontId="84" fillId="19" borderId="40" xfId="1" applyNumberFormat="1" applyFont="1" applyFill="1" applyBorder="1" applyAlignment="1">
      <alignment horizontal="center" vertical="center"/>
    </xf>
    <xf numFmtId="0" fontId="3" fillId="0" borderId="0" xfId="0" applyFont="1" applyBorder="1" applyAlignment="1">
      <alignment horizontal="center"/>
    </xf>
    <xf numFmtId="9" fontId="43" fillId="19" borderId="69" xfId="1" applyFont="1" applyFill="1" applyBorder="1" applyAlignment="1">
      <alignment horizontal="center" vertical="center"/>
    </xf>
    <xf numFmtId="9" fontId="43" fillId="19" borderId="50" xfId="1" applyFont="1" applyFill="1" applyBorder="1" applyAlignment="1">
      <alignment horizontal="center" vertical="center"/>
    </xf>
    <xf numFmtId="9" fontId="43" fillId="19" borderId="72" xfId="1" applyFont="1" applyFill="1" applyBorder="1" applyAlignment="1">
      <alignment horizontal="center" vertical="center"/>
    </xf>
    <xf numFmtId="9" fontId="42" fillId="0" borderId="0" xfId="0" applyNumberFormat="1" applyFont="1" applyAlignment="1">
      <alignment horizontal="center"/>
    </xf>
    <xf numFmtId="42" fontId="81" fillId="0" borderId="1" xfId="0" applyNumberFormat="1" applyFont="1" applyFill="1" applyBorder="1" applyAlignment="1">
      <alignment vertical="center"/>
    </xf>
    <xf numFmtId="9" fontId="52" fillId="19" borderId="41" xfId="1" applyNumberFormat="1" applyFont="1" applyFill="1" applyBorder="1" applyAlignment="1">
      <alignment horizontal="right" vertical="center"/>
    </xf>
    <xf numFmtId="9" fontId="52" fillId="19" borderId="11" xfId="1" applyNumberFormat="1" applyFont="1" applyFill="1" applyBorder="1" applyAlignment="1">
      <alignment horizontal="right" vertical="center"/>
    </xf>
    <xf numFmtId="0" fontId="66" fillId="19" borderId="0" xfId="0" applyFont="1" applyFill="1"/>
    <xf numFmtId="0" fontId="64" fillId="0" borderId="0" xfId="0" applyFont="1"/>
    <xf numFmtId="9" fontId="64" fillId="0" borderId="0" xfId="0" applyNumberFormat="1" applyFont="1"/>
    <xf numFmtId="9" fontId="65" fillId="8" borderId="49" xfId="1" applyNumberFormat="1" applyFont="1" applyFill="1" applyBorder="1"/>
    <xf numFmtId="0" fontId="70" fillId="0" borderId="0" xfId="0" applyFont="1"/>
    <xf numFmtId="42" fontId="70" fillId="0" borderId="0" xfId="0" applyNumberFormat="1" applyFont="1" applyBorder="1" applyAlignment="1">
      <alignment horizontal="left"/>
    </xf>
    <xf numFmtId="42" fontId="70" fillId="0" borderId="0" xfId="0" applyNumberFormat="1" applyFont="1"/>
    <xf numFmtId="9" fontId="65" fillId="10" borderId="49" xfId="1" applyFont="1" applyFill="1" applyBorder="1"/>
    <xf numFmtId="0" fontId="46" fillId="0" borderId="1" xfId="0" applyFont="1" applyFill="1" applyBorder="1" applyAlignment="1">
      <alignment horizontal="justify" vertical="center" wrapText="1"/>
    </xf>
    <xf numFmtId="0" fontId="58" fillId="0" borderId="12" xfId="0" applyFont="1" applyFill="1" applyBorder="1" applyAlignment="1">
      <alignment horizontal="justify" vertical="center" wrapText="1"/>
    </xf>
    <xf numFmtId="9" fontId="49" fillId="10" borderId="1" xfId="1" applyFont="1" applyFill="1" applyBorder="1"/>
    <xf numFmtId="42" fontId="49" fillId="0" borderId="1" xfId="5" applyFont="1" applyBorder="1"/>
    <xf numFmtId="0" fontId="49" fillId="10" borderId="18" xfId="0" applyFont="1" applyFill="1" applyBorder="1"/>
    <xf numFmtId="42" fontId="49" fillId="10" borderId="18" xfId="5" applyFont="1" applyFill="1" applyBorder="1" applyAlignment="1">
      <alignment horizontal="right" vertical="center"/>
    </xf>
    <xf numFmtId="42" fontId="49" fillId="10" borderId="1" xfId="5" applyFont="1" applyFill="1" applyBorder="1" applyAlignment="1">
      <alignment horizontal="right" vertical="center"/>
    </xf>
    <xf numFmtId="9" fontId="49" fillId="10" borderId="1" xfId="0" applyNumberFormat="1" applyFont="1" applyFill="1" applyBorder="1"/>
    <xf numFmtId="9" fontId="49" fillId="0" borderId="18" xfId="1" applyFont="1" applyBorder="1" applyAlignment="1">
      <alignment horizontal="justify" vertical="center"/>
    </xf>
    <xf numFmtId="9" fontId="49" fillId="0" borderId="1" xfId="1" applyFont="1" applyBorder="1" applyAlignment="1">
      <alignment horizontal="justify" vertical="center" wrapText="1"/>
    </xf>
    <xf numFmtId="9" fontId="49" fillId="0" borderId="1" xfId="1" applyFont="1" applyBorder="1" applyAlignment="1">
      <alignment horizontal="justify" vertical="center"/>
    </xf>
    <xf numFmtId="0" fontId="49" fillId="10" borderId="1" xfId="0" applyFont="1" applyFill="1" applyBorder="1" applyAlignment="1">
      <alignment horizontal="center" vertical="center"/>
    </xf>
    <xf numFmtId="9" fontId="49" fillId="10" borderId="1" xfId="1" applyFont="1" applyFill="1" applyBorder="1" applyAlignment="1">
      <alignment horizontal="center" vertical="center" wrapText="1"/>
    </xf>
    <xf numFmtId="9" fontId="86" fillId="10" borderId="1" xfId="1" applyFont="1" applyFill="1" applyBorder="1" applyAlignment="1">
      <alignment horizontal="right" vertical="center"/>
    </xf>
    <xf numFmtId="9" fontId="49" fillId="0" borderId="1" xfId="1" applyFont="1" applyBorder="1" applyAlignment="1">
      <alignment horizontal="left" vertical="center" wrapText="1"/>
    </xf>
    <xf numFmtId="9" fontId="87" fillId="0" borderId="1" xfId="1" applyFont="1" applyBorder="1" applyAlignment="1">
      <alignment horizontal="left" vertical="center" wrapText="1"/>
    </xf>
    <xf numFmtId="10" fontId="49" fillId="10" borderId="1" xfId="0" applyNumberFormat="1" applyFont="1" applyFill="1" applyBorder="1" applyAlignment="1">
      <alignment horizontal="right" vertical="center"/>
    </xf>
    <xf numFmtId="0" fontId="88" fillId="0" borderId="1" xfId="0" applyFont="1" applyFill="1" applyBorder="1" applyAlignment="1">
      <alignment horizontal="justify" vertical="center"/>
    </xf>
    <xf numFmtId="10" fontId="49" fillId="10" borderId="1" xfId="1" applyNumberFormat="1" applyFont="1" applyFill="1" applyBorder="1" applyAlignment="1">
      <alignment horizontal="center" vertical="center" wrapText="1"/>
    </xf>
    <xf numFmtId="42" fontId="49" fillId="10" borderId="1" xfId="5" applyFont="1" applyFill="1" applyBorder="1" applyAlignment="1">
      <alignment horizontal="right" vertical="center" wrapText="1"/>
    </xf>
    <xf numFmtId="0" fontId="49" fillId="0" borderId="59" xfId="0" applyFont="1" applyFill="1" applyBorder="1" applyAlignment="1">
      <alignment horizontal="justify" vertical="center" wrapText="1"/>
    </xf>
    <xf numFmtId="9" fontId="49" fillId="0" borderId="1" xfId="0" applyNumberFormat="1" applyFont="1" applyBorder="1" applyAlignment="1">
      <alignment horizontal="right" vertical="center"/>
    </xf>
    <xf numFmtId="9" fontId="49" fillId="0" borderId="1" xfId="1" applyFont="1" applyBorder="1" applyAlignment="1">
      <alignment horizontal="right" vertical="center"/>
    </xf>
    <xf numFmtId="42" fontId="49" fillId="0" borderId="1" xfId="1" applyNumberFormat="1" applyFont="1" applyBorder="1" applyAlignment="1">
      <alignment horizontal="right" vertical="center"/>
    </xf>
    <xf numFmtId="0" fontId="88" fillId="0" borderId="1" xfId="0" applyFont="1" applyBorder="1" applyAlignment="1">
      <alignment horizontal="justify" vertical="center"/>
    </xf>
    <xf numFmtId="42" fontId="49" fillId="0" borderId="1" xfId="5" applyFont="1" applyBorder="1" applyAlignment="1">
      <alignment horizontal="right" vertical="center"/>
    </xf>
    <xf numFmtId="0" fontId="49" fillId="0" borderId="59" xfId="0" applyFont="1" applyBorder="1" applyAlignment="1">
      <alignment horizontal="justify" vertical="center" wrapText="1"/>
    </xf>
    <xf numFmtId="10" fontId="49" fillId="0" borderId="1" xfId="1" applyNumberFormat="1" applyFont="1" applyBorder="1" applyAlignment="1">
      <alignment horizontal="right" vertical="center"/>
    </xf>
    <xf numFmtId="9" fontId="49" fillId="4" borderId="1" xfId="1" applyFont="1" applyFill="1" applyBorder="1" applyAlignment="1">
      <alignment horizontal="right" vertical="center" wrapText="1"/>
    </xf>
    <xf numFmtId="9" fontId="49" fillId="0" borderId="1" xfId="1" applyFont="1" applyBorder="1"/>
    <xf numFmtId="9" fontId="49" fillId="0" borderId="1" xfId="0" applyNumberFormat="1" applyFont="1" applyBorder="1" applyAlignment="1">
      <alignment horizontal="justify" vertical="center" wrapText="1"/>
    </xf>
    <xf numFmtId="1" fontId="49" fillId="10" borderId="1" xfId="0" applyNumberFormat="1" applyFont="1" applyFill="1" applyBorder="1" applyAlignment="1">
      <alignment horizontal="center" vertical="center" wrapText="1"/>
    </xf>
    <xf numFmtId="9" fontId="49" fillId="23" borderId="1" xfId="1" applyFont="1" applyFill="1" applyBorder="1" applyAlignment="1">
      <alignment horizontal="right" vertical="center" wrapText="1"/>
    </xf>
    <xf numFmtId="10" fontId="49" fillId="10" borderId="1" xfId="0" applyNumberFormat="1" applyFont="1" applyFill="1" applyBorder="1" applyAlignment="1">
      <alignment horizontal="center" vertical="center" wrapText="1"/>
    </xf>
    <xf numFmtId="0" fontId="81" fillId="0" borderId="59" xfId="0" applyFont="1" applyBorder="1" applyAlignment="1">
      <alignment horizontal="justify" vertical="center" wrapText="1"/>
    </xf>
    <xf numFmtId="9" fontId="49" fillId="10" borderId="1" xfId="0" applyNumberFormat="1" applyFont="1" applyFill="1" applyBorder="1" applyAlignment="1">
      <alignment horizontal="right" vertical="center"/>
    </xf>
    <xf numFmtId="42" fontId="49" fillId="0" borderId="1" xfId="0" applyNumberFormat="1" applyFont="1" applyBorder="1"/>
    <xf numFmtId="9" fontId="49" fillId="25" borderId="1" xfId="1" applyFont="1" applyFill="1" applyBorder="1" applyAlignment="1">
      <alignment horizontal="right" vertical="center" wrapText="1"/>
    </xf>
    <xf numFmtId="42" fontId="49" fillId="10" borderId="1" xfId="5" applyFont="1" applyFill="1" applyBorder="1"/>
    <xf numFmtId="0" fontId="49" fillId="10" borderId="1" xfId="0" applyFont="1" applyFill="1" applyBorder="1" applyAlignment="1">
      <alignment horizontal="right" vertical="center"/>
    </xf>
    <xf numFmtId="0" fontId="90" fillId="0" borderId="59" xfId="0" applyFont="1" applyBorder="1" applyAlignment="1">
      <alignment horizontal="justify" vertical="center" wrapText="1"/>
    </xf>
    <xf numFmtId="0" fontId="49" fillId="10" borderId="1" xfId="0" applyFont="1" applyFill="1" applyBorder="1" applyAlignment="1">
      <alignment vertical="center"/>
    </xf>
    <xf numFmtId="42" fontId="49" fillId="10" borderId="1" xfId="5" applyFont="1" applyFill="1" applyBorder="1" applyAlignment="1">
      <alignment vertical="center"/>
    </xf>
    <xf numFmtId="9" fontId="49" fillId="10" borderId="1" xfId="1" applyFont="1" applyFill="1" applyBorder="1" applyAlignment="1">
      <alignment vertical="center"/>
    </xf>
    <xf numFmtId="9" fontId="49" fillId="0" borderId="1" xfId="1" applyNumberFormat="1" applyFont="1" applyFill="1" applyBorder="1" applyAlignment="1">
      <alignment horizontal="justify" vertical="center" wrapText="1"/>
    </xf>
    <xf numFmtId="9" fontId="49" fillId="10" borderId="1" xfId="0" applyNumberFormat="1" applyFont="1" applyFill="1" applyBorder="1" applyAlignment="1">
      <alignment vertical="center"/>
    </xf>
    <xf numFmtId="9" fontId="49" fillId="0" borderId="1" xfId="1" applyFont="1" applyBorder="1" applyAlignment="1">
      <alignment horizontal="right" vertical="center" wrapText="1"/>
    </xf>
    <xf numFmtId="10" fontId="49" fillId="10" borderId="1" xfId="0" applyNumberFormat="1" applyFont="1" applyFill="1" applyBorder="1"/>
    <xf numFmtId="0" fontId="49" fillId="10" borderId="1" xfId="0" applyFont="1" applyFill="1" applyBorder="1"/>
    <xf numFmtId="10" fontId="49" fillId="10" borderId="1" xfId="0" applyNumberFormat="1" applyFont="1" applyFill="1" applyBorder="1" applyAlignment="1">
      <alignment vertical="center"/>
    </xf>
    <xf numFmtId="42" fontId="49" fillId="10" borderId="1" xfId="0" applyNumberFormat="1" applyFont="1" applyFill="1" applyBorder="1" applyAlignment="1">
      <alignment vertical="center"/>
    </xf>
    <xf numFmtId="42" fontId="81" fillId="10" borderId="1" xfId="5" applyFont="1" applyFill="1" applyBorder="1" applyAlignment="1">
      <alignment horizontal="right" vertical="center"/>
    </xf>
    <xf numFmtId="174" fontId="49" fillId="10" borderId="1" xfId="0" applyNumberFormat="1" applyFont="1" applyFill="1" applyBorder="1"/>
    <xf numFmtId="0" fontId="0" fillId="0" borderId="0" xfId="0" applyAlignment="1">
      <alignment horizontal="justify" vertical="center"/>
    </xf>
    <xf numFmtId="9" fontId="81" fillId="0" borderId="1" xfId="1" applyNumberFormat="1" applyFont="1" applyFill="1" applyBorder="1" applyAlignment="1">
      <alignment horizontal="justify" vertical="center"/>
    </xf>
    <xf numFmtId="0" fontId="88" fillId="0" borderId="7" xfId="0" applyFont="1" applyFill="1" applyBorder="1" applyAlignment="1">
      <alignment horizontal="right" vertical="center"/>
    </xf>
    <xf numFmtId="0" fontId="88" fillId="0" borderId="1" xfId="0" applyFont="1" applyFill="1" applyBorder="1" applyAlignment="1">
      <alignment horizontal="justify" vertical="center" wrapText="1"/>
    </xf>
    <xf numFmtId="0" fontId="88" fillId="0" borderId="1" xfId="0" applyFont="1" applyFill="1" applyBorder="1" applyAlignment="1">
      <alignment horizontal="right" vertical="center"/>
    </xf>
    <xf numFmtId="0" fontId="88" fillId="0" borderId="1" xfId="0" applyFont="1" applyFill="1" applyBorder="1" applyAlignment="1">
      <alignment horizontal="center" vertical="center"/>
    </xf>
    <xf numFmtId="9" fontId="88" fillId="0" borderId="1" xfId="0" applyNumberFormat="1" applyFont="1" applyFill="1" applyBorder="1" applyAlignment="1">
      <alignment horizontal="right" vertical="center"/>
    </xf>
    <xf numFmtId="42" fontId="88" fillId="0" borderId="1" xfId="5" applyFont="1" applyFill="1" applyBorder="1" applyAlignment="1">
      <alignment horizontal="right" vertical="center"/>
    </xf>
    <xf numFmtId="9" fontId="88" fillId="0" borderId="1" xfId="1" applyFont="1" applyFill="1" applyBorder="1" applyAlignment="1">
      <alignment horizontal="justify" vertical="center" wrapText="1"/>
    </xf>
    <xf numFmtId="42" fontId="88" fillId="0" borderId="1" xfId="1" applyNumberFormat="1" applyFont="1" applyFill="1" applyBorder="1" applyAlignment="1">
      <alignment horizontal="right" vertical="center"/>
    </xf>
    <xf numFmtId="9" fontId="88" fillId="0" borderId="1" xfId="1" applyFont="1" applyFill="1" applyBorder="1"/>
    <xf numFmtId="42" fontId="88" fillId="0" borderId="1" xfId="5" applyFont="1" applyFill="1" applyBorder="1"/>
    <xf numFmtId="9" fontId="88" fillId="0" borderId="1" xfId="1" applyNumberFormat="1" applyFont="1" applyFill="1" applyBorder="1" applyAlignment="1">
      <alignment horizontal="right" vertical="center"/>
    </xf>
    <xf numFmtId="0" fontId="88" fillId="0" borderId="59" xfId="0" applyFont="1" applyFill="1" applyBorder="1" applyAlignment="1">
      <alignment horizontal="justify" vertical="center" wrapText="1"/>
    </xf>
    <xf numFmtId="0" fontId="88" fillId="0" borderId="1" xfId="0" applyFont="1" applyFill="1" applyBorder="1"/>
    <xf numFmtId="9" fontId="88" fillId="0" borderId="1" xfId="1" applyNumberFormat="1" applyFont="1" applyFill="1" applyBorder="1" applyAlignment="1">
      <alignment horizontal="right" vertical="center" wrapText="1"/>
    </xf>
    <xf numFmtId="9" fontId="88" fillId="0" borderId="1" xfId="0" applyNumberFormat="1" applyFont="1" applyFill="1" applyBorder="1" applyAlignment="1">
      <alignment horizontal="justify" vertical="center" wrapText="1"/>
    </xf>
    <xf numFmtId="172" fontId="81" fillId="10" borderId="1" xfId="0" applyNumberFormat="1" applyFont="1" applyFill="1" applyBorder="1" applyAlignment="1">
      <alignment horizontal="center" vertical="center"/>
    </xf>
    <xf numFmtId="1" fontId="49" fillId="10" borderId="1" xfId="0" applyNumberFormat="1" applyFont="1" applyFill="1" applyBorder="1" applyAlignment="1">
      <alignment horizontal="right" vertical="center"/>
    </xf>
    <xf numFmtId="42" fontId="81" fillId="10" borderId="1" xfId="5" applyFont="1" applyFill="1" applyBorder="1"/>
    <xf numFmtId="9" fontId="26" fillId="0" borderId="1" xfId="13" applyNumberFormat="1" applyBorder="1" applyAlignment="1">
      <alignment horizontal="left" vertical="center" wrapText="1"/>
    </xf>
    <xf numFmtId="175" fontId="49" fillId="10" borderId="1" xfId="0" applyNumberFormat="1" applyFont="1" applyFill="1" applyBorder="1" applyAlignment="1">
      <alignment vertical="center"/>
    </xf>
    <xf numFmtId="173" fontId="49" fillId="10" borderId="1" xfId="0" applyNumberFormat="1" applyFont="1" applyFill="1" applyBorder="1" applyAlignment="1">
      <alignment vertical="center"/>
    </xf>
    <xf numFmtId="9" fontId="81" fillId="0" borderId="1" xfId="0" applyNumberFormat="1" applyFont="1" applyFill="1" applyBorder="1" applyAlignment="1">
      <alignment horizontal="justify" vertical="center" wrapText="1"/>
    </xf>
    <xf numFmtId="9" fontId="81" fillId="10" borderId="1" xfId="1" applyFont="1" applyFill="1" applyBorder="1"/>
    <xf numFmtId="42" fontId="49" fillId="0" borderId="1" xfId="5" applyFont="1" applyFill="1" applyBorder="1" applyAlignment="1">
      <alignment horizontal="right" vertical="center"/>
    </xf>
    <xf numFmtId="42" fontId="0" fillId="0" borderId="0" xfId="5" applyFont="1"/>
    <xf numFmtId="42" fontId="0" fillId="0" borderId="0" xfId="0" applyNumberFormat="1"/>
    <xf numFmtId="10" fontId="49" fillId="10" borderId="1" xfId="1" applyNumberFormat="1" applyFont="1" applyFill="1" applyBorder="1"/>
    <xf numFmtId="9" fontId="81" fillId="10" borderId="1" xfId="0" applyNumberFormat="1" applyFont="1" applyFill="1" applyBorder="1" applyAlignment="1">
      <alignment horizontal="right" vertical="center"/>
    </xf>
    <xf numFmtId="0" fontId="81" fillId="10" borderId="1" xfId="0" applyFont="1" applyFill="1" applyBorder="1" applyAlignment="1">
      <alignment horizontal="right"/>
    </xf>
    <xf numFmtId="10" fontId="88" fillId="0" borderId="0" xfId="1" applyNumberFormat="1" applyFont="1" applyAlignment="1">
      <alignment vertical="center"/>
    </xf>
    <xf numFmtId="10" fontId="88" fillId="0" borderId="1" xfId="0" applyNumberFormat="1" applyFont="1" applyBorder="1" applyAlignment="1">
      <alignment horizontal="right" vertical="center"/>
    </xf>
    <xf numFmtId="42" fontId="88" fillId="0" borderId="1" xfId="5" applyFont="1" applyBorder="1" applyAlignment="1">
      <alignment horizontal="right" vertical="center"/>
    </xf>
    <xf numFmtId="10" fontId="88" fillId="0" borderId="1" xfId="1" applyNumberFormat="1" applyFont="1" applyBorder="1" applyAlignment="1">
      <alignment horizontal="right" vertical="center"/>
    </xf>
    <xf numFmtId="0" fontId="88" fillId="0" borderId="1" xfId="0" applyFont="1" applyBorder="1" applyAlignment="1">
      <alignment horizontal="center" vertical="center"/>
    </xf>
    <xf numFmtId="9" fontId="88" fillId="0" borderId="1" xfId="0" applyNumberFormat="1" applyFont="1" applyBorder="1" applyAlignment="1">
      <alignment horizontal="right" vertical="center"/>
    </xf>
    <xf numFmtId="0" fontId="88" fillId="0" borderId="1" xfId="0" applyFont="1" applyBorder="1" applyAlignment="1">
      <alignment horizontal="justify" vertical="center" wrapText="1"/>
    </xf>
    <xf numFmtId="9" fontId="88" fillId="0" borderId="1" xfId="1" applyFont="1" applyBorder="1" applyAlignment="1">
      <alignment horizontal="justify" vertical="center" wrapText="1"/>
    </xf>
    <xf numFmtId="9" fontId="88" fillId="0" borderId="1" xfId="1" applyFont="1" applyBorder="1" applyAlignment="1">
      <alignment horizontal="right" vertical="center"/>
    </xf>
    <xf numFmtId="9" fontId="81" fillId="10" borderId="1" xfId="1" applyFont="1" applyFill="1" applyBorder="1" applyAlignment="1">
      <alignment horizontal="right" vertical="center"/>
    </xf>
    <xf numFmtId="42" fontId="81" fillId="0" borderId="1" xfId="5" applyFont="1" applyBorder="1" applyAlignment="1">
      <alignment horizontal="right" vertical="center"/>
    </xf>
    <xf numFmtId="0" fontId="81" fillId="0" borderId="1" xfId="0" applyFont="1" applyBorder="1"/>
    <xf numFmtId="0" fontId="88" fillId="0" borderId="1" xfId="0" applyFont="1" applyBorder="1" applyAlignment="1">
      <alignment horizontal="right" vertical="center"/>
    </xf>
    <xf numFmtId="42" fontId="88" fillId="0" borderId="1" xfId="5" applyFont="1" applyBorder="1" applyAlignment="1">
      <alignment vertical="center"/>
    </xf>
    <xf numFmtId="9" fontId="88" fillId="0" borderId="1" xfId="0" applyNumberFormat="1" applyFont="1" applyBorder="1" applyAlignment="1">
      <alignment vertical="center"/>
    </xf>
    <xf numFmtId="9" fontId="88" fillId="0" borderId="1" xfId="0" applyNumberFormat="1" applyFont="1" applyBorder="1"/>
    <xf numFmtId="42" fontId="88" fillId="0" borderId="1" xfId="0" applyNumberFormat="1" applyFont="1" applyBorder="1"/>
    <xf numFmtId="10" fontId="88" fillId="0" borderId="1" xfId="0" applyNumberFormat="1" applyFont="1" applyBorder="1" applyAlignment="1">
      <alignment horizontal="center" vertical="center" wrapText="1"/>
    </xf>
    <xf numFmtId="42" fontId="88" fillId="0" borderId="1" xfId="5" applyFont="1" applyBorder="1" applyAlignment="1">
      <alignment horizontal="right" vertical="center" wrapText="1"/>
    </xf>
    <xf numFmtId="0" fontId="88" fillId="0" borderId="1" xfId="0" applyFont="1" applyBorder="1" applyAlignment="1">
      <alignment wrapText="1"/>
    </xf>
    <xf numFmtId="0" fontId="88" fillId="0" borderId="1" xfId="0" applyFont="1" applyBorder="1" applyAlignment="1">
      <alignment horizontal="justify"/>
    </xf>
    <xf numFmtId="9" fontId="88" fillId="10" borderId="1" xfId="1" applyFont="1" applyFill="1" applyBorder="1"/>
    <xf numFmtId="42" fontId="88" fillId="10" borderId="1" xfId="5" applyFont="1" applyFill="1" applyBorder="1"/>
    <xf numFmtId="0" fontId="88" fillId="0" borderId="1" xfId="0" applyFont="1" applyBorder="1" applyAlignment="1">
      <alignment horizontal="left" wrapText="1"/>
    </xf>
    <xf numFmtId="0" fontId="88" fillId="0" borderId="1" xfId="0" applyFont="1" applyBorder="1"/>
    <xf numFmtId="9" fontId="88" fillId="23" borderId="1" xfId="1" applyFont="1" applyFill="1" applyBorder="1" applyAlignment="1">
      <alignment horizontal="right" vertical="center" wrapText="1"/>
    </xf>
    <xf numFmtId="9" fontId="88" fillId="0" borderId="1" xfId="1" applyFont="1" applyBorder="1"/>
    <xf numFmtId="42" fontId="88" fillId="0" borderId="1" xfId="5" applyFont="1" applyBorder="1"/>
    <xf numFmtId="9" fontId="88" fillId="0" borderId="1" xfId="1" applyFont="1" applyFill="1" applyBorder="1" applyAlignment="1">
      <alignment horizontal="right" vertical="center"/>
    </xf>
    <xf numFmtId="1" fontId="88" fillId="0" borderId="1" xfId="1" applyNumberFormat="1" applyFont="1" applyFill="1" applyBorder="1" applyAlignment="1">
      <alignment horizontal="right" vertical="center"/>
    </xf>
    <xf numFmtId="1" fontId="88" fillId="0" borderId="1" xfId="0" applyNumberFormat="1" applyFont="1" applyFill="1" applyBorder="1" applyAlignment="1">
      <alignment horizontal="right" vertical="center"/>
    </xf>
    <xf numFmtId="9" fontId="88" fillId="0" borderId="1" xfId="0" applyNumberFormat="1" applyFont="1" applyFill="1" applyBorder="1" applyAlignment="1">
      <alignment horizontal="justify" vertical="center"/>
    </xf>
    <xf numFmtId="0" fontId="12" fillId="0" borderId="1" xfId="0" applyFont="1" applyFill="1" applyBorder="1"/>
    <xf numFmtId="0" fontId="88" fillId="10" borderId="1" xfId="0" applyFont="1" applyFill="1" applyBorder="1"/>
    <xf numFmtId="42" fontId="12" fillId="0" borderId="1" xfId="5" applyFont="1" applyFill="1" applyBorder="1" applyAlignment="1">
      <alignment vertical="center"/>
    </xf>
    <xf numFmtId="1" fontId="88" fillId="0" borderId="1" xfId="1" applyNumberFormat="1" applyFont="1" applyFill="1" applyBorder="1"/>
    <xf numFmtId="0" fontId="88" fillId="0" borderId="1" xfId="0" applyFont="1" applyFill="1" applyBorder="1" applyAlignment="1">
      <alignment vertical="center"/>
    </xf>
    <xf numFmtId="9" fontId="88" fillId="0" borderId="1" xfId="0" applyNumberFormat="1" applyFont="1" applyFill="1" applyBorder="1" applyAlignment="1">
      <alignment horizontal="center" vertical="center"/>
    </xf>
    <xf numFmtId="42" fontId="88" fillId="0" borderId="1" xfId="5" applyFont="1" applyFill="1" applyBorder="1" applyAlignment="1">
      <alignment horizontal="justify" vertical="center"/>
    </xf>
    <xf numFmtId="42" fontId="88" fillId="0" borderId="1" xfId="0" applyNumberFormat="1" applyFont="1" applyFill="1" applyBorder="1" applyAlignment="1">
      <alignment horizontal="justify" vertical="center"/>
    </xf>
    <xf numFmtId="42" fontId="0" fillId="0" borderId="0" xfId="0" applyNumberFormat="1" applyFill="1"/>
    <xf numFmtId="42" fontId="49" fillId="10" borderId="1" xfId="15" applyFont="1" applyFill="1" applyBorder="1"/>
    <xf numFmtId="42" fontId="49" fillId="10" borderId="1" xfId="15" applyFont="1" applyFill="1" applyBorder="1" applyAlignment="1">
      <alignment horizontal="right" vertical="center"/>
    </xf>
    <xf numFmtId="1" fontId="49" fillId="10" borderId="1" xfId="0" applyNumberFormat="1" applyFont="1" applyFill="1" applyBorder="1" applyAlignment="1">
      <alignment horizontal="right" vertical="center"/>
    </xf>
    <xf numFmtId="0" fontId="49" fillId="10" borderId="1" xfId="0" applyFont="1" applyFill="1" applyBorder="1" applyAlignment="1">
      <alignment horizontal="center" vertical="center"/>
    </xf>
    <xf numFmtId="10" fontId="49" fillId="10" borderId="1" xfId="0" applyNumberFormat="1" applyFont="1" applyFill="1" applyBorder="1" applyAlignment="1">
      <alignment horizontal="right" vertical="center"/>
    </xf>
    <xf numFmtId="9" fontId="49" fillId="10" borderId="1" xfId="0" applyNumberFormat="1" applyFont="1" applyFill="1" applyBorder="1" applyAlignment="1">
      <alignment vertical="center"/>
    </xf>
    <xf numFmtId="0" fontId="49" fillId="10" borderId="1" xfId="0" applyFont="1" applyFill="1" applyBorder="1" applyAlignment="1">
      <alignment vertical="center"/>
    </xf>
    <xf numFmtId="172" fontId="49" fillId="10" borderId="1" xfId="0" applyNumberFormat="1" applyFont="1" applyFill="1" applyBorder="1" applyAlignment="1">
      <alignment horizontal="right" vertical="center"/>
    </xf>
    <xf numFmtId="0" fontId="49" fillId="10" borderId="1" xfId="0" applyFont="1" applyFill="1" applyBorder="1" applyAlignment="1">
      <alignment horizontal="right" vertical="center"/>
    </xf>
    <xf numFmtId="42" fontId="49" fillId="10" borderId="1" xfId="15" applyFont="1" applyFill="1" applyBorder="1"/>
    <xf numFmtId="9" fontId="49" fillId="10" borderId="1" xfId="0" applyNumberFormat="1" applyFont="1" applyFill="1" applyBorder="1" applyAlignment="1">
      <alignment vertical="center"/>
    </xf>
    <xf numFmtId="9" fontId="49" fillId="10" borderId="1" xfId="1" applyFont="1" applyFill="1" applyBorder="1" applyAlignment="1">
      <alignment vertical="center"/>
    </xf>
    <xf numFmtId="0" fontId="46" fillId="0" borderId="1" xfId="0" applyFont="1" applyFill="1" applyBorder="1" applyAlignment="1">
      <alignment horizontal="justify" vertical="center" wrapText="1"/>
    </xf>
    <xf numFmtId="0" fontId="58" fillId="0" borderId="12" xfId="0" applyFont="1" applyBorder="1" applyAlignment="1">
      <alignment horizontal="justify" vertical="center" wrapText="1"/>
    </xf>
    <xf numFmtId="0" fontId="46" fillId="0" borderId="1" xfId="0" applyFont="1" applyBorder="1" applyAlignment="1">
      <alignment horizontal="justify" vertical="center" wrapText="1"/>
    </xf>
    <xf numFmtId="9" fontId="29" fillId="0" borderId="18" xfId="1" applyNumberFormat="1" applyFont="1" applyFill="1" applyBorder="1" applyAlignment="1">
      <alignment horizontal="center" vertical="center"/>
    </xf>
    <xf numFmtId="0" fontId="0" fillId="0" borderId="0" xfId="0" applyAlignment="1">
      <alignment horizontal="center"/>
    </xf>
    <xf numFmtId="3" fontId="49" fillId="10" borderId="1" xfId="0" applyNumberFormat="1" applyFont="1" applyFill="1" applyBorder="1"/>
    <xf numFmtId="42" fontId="90" fillId="0" borderId="1" xfId="5" applyFont="1" applyBorder="1" applyAlignment="1">
      <alignment horizontal="right" vertical="center"/>
    </xf>
    <xf numFmtId="1" fontId="49" fillId="0" borderId="1" xfId="0" applyNumberFormat="1" applyFont="1" applyBorder="1" applyAlignment="1">
      <alignment horizontal="right" vertical="center"/>
    </xf>
    <xf numFmtId="0" fontId="46" fillId="0" borderId="1" xfId="0" applyFont="1" applyFill="1" applyBorder="1" applyAlignment="1">
      <alignment horizontal="justify" vertical="center" wrapText="1"/>
    </xf>
    <xf numFmtId="42" fontId="88" fillId="9" borderId="1" xfId="5" applyFont="1" applyFill="1" applyBorder="1" applyAlignment="1">
      <alignment horizontal="right" vertical="center"/>
    </xf>
    <xf numFmtId="0" fontId="29" fillId="10" borderId="28" xfId="0" applyFont="1" applyFill="1" applyBorder="1"/>
    <xf numFmtId="173" fontId="29" fillId="10" borderId="28" xfId="0" applyNumberFormat="1" applyFont="1" applyFill="1" applyBorder="1" applyAlignment="1"/>
    <xf numFmtId="0" fontId="29" fillId="10" borderId="1" xfId="0" applyFont="1" applyFill="1" applyBorder="1"/>
    <xf numFmtId="9" fontId="29" fillId="10" borderId="1" xfId="1" applyFont="1" applyFill="1" applyBorder="1"/>
    <xf numFmtId="9" fontId="29" fillId="0" borderId="4" xfId="1" applyNumberFormat="1" applyFont="1" applyFill="1" applyBorder="1" applyAlignment="1">
      <alignment horizontal="justify" vertical="center" wrapText="1"/>
    </xf>
    <xf numFmtId="9" fontId="29" fillId="0" borderId="17" xfId="1" applyNumberFormat="1" applyFont="1" applyFill="1" applyBorder="1" applyAlignment="1">
      <alignment horizontal="justify" vertical="center" wrapText="1"/>
    </xf>
    <xf numFmtId="9" fontId="65" fillId="0" borderId="0" xfId="1" applyNumberFormat="1" applyFont="1" applyFill="1" applyBorder="1"/>
    <xf numFmtId="9" fontId="65" fillId="0" borderId="0" xfId="1" applyFont="1" applyFill="1" applyBorder="1"/>
    <xf numFmtId="0" fontId="53" fillId="0" borderId="0" xfId="0" applyFont="1" applyFill="1"/>
    <xf numFmtId="0" fontId="53" fillId="0" borderId="0" xfId="0" applyFont="1"/>
    <xf numFmtId="42" fontId="53" fillId="0" borderId="0" xfId="0" applyNumberFormat="1" applyFont="1" applyFill="1"/>
    <xf numFmtId="9" fontId="81" fillId="0" borderId="1" xfId="0" applyNumberFormat="1" applyFont="1" applyFill="1" applyBorder="1" applyAlignment="1">
      <alignment horizontal="justify" vertical="center" wrapText="1"/>
    </xf>
    <xf numFmtId="0" fontId="0" fillId="0" borderId="0" xfId="0" applyAlignment="1">
      <alignment horizontal="center"/>
    </xf>
    <xf numFmtId="9" fontId="81" fillId="0" borderId="1" xfId="1" applyNumberFormat="1" applyFont="1" applyFill="1" applyBorder="1" applyAlignment="1">
      <alignment horizontal="center" vertical="center"/>
    </xf>
    <xf numFmtId="1" fontId="49" fillId="10" borderId="1" xfId="0" applyNumberFormat="1" applyFont="1" applyFill="1" applyBorder="1"/>
    <xf numFmtId="0" fontId="81" fillId="10" borderId="1" xfId="0" applyFont="1" applyFill="1" applyBorder="1"/>
    <xf numFmtId="9" fontId="81" fillId="10" borderId="1" xfId="0" applyNumberFormat="1" applyFont="1" applyFill="1" applyBorder="1"/>
    <xf numFmtId="9" fontId="81" fillId="10" borderId="1" xfId="0" applyNumberFormat="1" applyFont="1" applyFill="1" applyBorder="1" applyAlignment="1">
      <alignment horizontal="center" vertical="center"/>
    </xf>
    <xf numFmtId="0" fontId="46" fillId="0" borderId="0" xfId="0" applyFont="1"/>
    <xf numFmtId="9" fontId="52" fillId="19" borderId="7" xfId="1" applyFont="1" applyFill="1" applyBorder="1" applyAlignment="1">
      <alignment horizontal="right" vertical="center"/>
    </xf>
    <xf numFmtId="9" fontId="60" fillId="19" borderId="1" xfId="1" applyFont="1" applyFill="1" applyBorder="1" applyAlignment="1">
      <alignment horizontal="right" vertical="center"/>
    </xf>
    <xf numFmtId="0" fontId="46" fillId="0" borderId="1" xfId="0" applyFont="1" applyBorder="1" applyAlignment="1">
      <alignment horizontal="justify" vertical="center" wrapText="1"/>
    </xf>
    <xf numFmtId="0" fontId="58" fillId="0" borderId="8" xfId="0" applyFont="1" applyBorder="1" applyAlignment="1">
      <alignment horizontal="justify" vertical="center" wrapText="1"/>
    </xf>
    <xf numFmtId="1" fontId="52" fillId="19" borderId="7" xfId="1" applyNumberFormat="1" applyFont="1" applyFill="1" applyBorder="1" applyAlignment="1">
      <alignment horizontal="right" vertical="center"/>
    </xf>
    <xf numFmtId="1" fontId="52" fillId="19" borderId="11" xfId="1" applyNumberFormat="1" applyFont="1" applyFill="1" applyBorder="1" applyAlignment="1">
      <alignment horizontal="right" vertical="center"/>
    </xf>
    <xf numFmtId="1" fontId="52" fillId="19" borderId="41" xfId="1" applyNumberFormat="1" applyFont="1" applyFill="1" applyBorder="1" applyAlignment="1">
      <alignment horizontal="right" vertical="center"/>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172" fontId="81" fillId="10" borderId="1" xfId="0" applyNumberFormat="1" applyFont="1" applyFill="1" applyBorder="1" applyAlignment="1">
      <alignment horizontal="center" vertical="center"/>
    </xf>
    <xf numFmtId="10" fontId="81" fillId="10" borderId="1" xfId="0" applyNumberFormat="1" applyFont="1" applyFill="1" applyBorder="1" applyAlignment="1">
      <alignment horizontal="center" vertical="center"/>
    </xf>
    <xf numFmtId="173" fontId="0" fillId="0" borderId="0" xfId="0" applyNumberFormat="1" applyFill="1"/>
    <xf numFmtId="42" fontId="0" fillId="0" borderId="0" xfId="5" applyFont="1" applyFill="1"/>
    <xf numFmtId="42" fontId="6" fillId="0" borderId="0" xfId="0" applyNumberFormat="1" applyFont="1" applyFill="1"/>
    <xf numFmtId="3" fontId="6" fillId="0" borderId="0" xfId="0" applyNumberFormat="1" applyFont="1" applyFill="1"/>
    <xf numFmtId="3" fontId="0" fillId="0" borderId="0" xfId="0" applyNumberFormat="1" applyFill="1"/>
    <xf numFmtId="3" fontId="52" fillId="19" borderId="7" xfId="1" applyNumberFormat="1" applyFont="1" applyFill="1" applyBorder="1" applyAlignment="1">
      <alignment horizontal="right" vertical="center"/>
    </xf>
    <xf numFmtId="0" fontId="59" fillId="0" borderId="1" xfId="0" applyFont="1" applyFill="1" applyBorder="1" applyAlignment="1">
      <alignment horizontal="justify" vertical="center" wrapText="1"/>
    </xf>
    <xf numFmtId="9" fontId="84" fillId="19" borderId="1" xfId="1" applyFont="1" applyFill="1" applyBorder="1" applyAlignment="1">
      <alignment horizontal="center" vertical="center"/>
    </xf>
    <xf numFmtId="9" fontId="84" fillId="19" borderId="28" xfId="1" applyFont="1" applyFill="1" applyBorder="1" applyAlignment="1">
      <alignment horizontal="center" vertical="center"/>
    </xf>
    <xf numFmtId="9" fontId="84" fillId="19" borderId="29" xfId="1" applyFont="1" applyFill="1" applyBorder="1" applyAlignment="1">
      <alignment horizontal="center" vertical="center"/>
    </xf>
    <xf numFmtId="9" fontId="84" fillId="19" borderId="46" xfId="1" applyFont="1" applyFill="1" applyBorder="1" applyAlignment="1">
      <alignment horizontal="center" vertical="center"/>
    </xf>
    <xf numFmtId="9" fontId="84" fillId="19" borderId="67" xfId="1" applyFont="1" applyFill="1" applyBorder="1" applyAlignment="1">
      <alignment horizontal="center" vertical="center"/>
    </xf>
    <xf numFmtId="9" fontId="84" fillId="19" borderId="43" xfId="1" applyFont="1" applyFill="1" applyBorder="1" applyAlignment="1">
      <alignment horizontal="center" vertical="center"/>
    </xf>
    <xf numFmtId="9" fontId="84" fillId="19" borderId="68" xfId="1" applyFont="1" applyFill="1" applyBorder="1" applyAlignment="1">
      <alignment horizontal="center" vertical="center"/>
    </xf>
    <xf numFmtId="9" fontId="84" fillId="19" borderId="65" xfId="1" applyFont="1" applyFill="1" applyBorder="1" applyAlignment="1">
      <alignment horizontal="center" vertical="center"/>
    </xf>
    <xf numFmtId="9" fontId="43" fillId="19" borderId="49" xfId="1" applyFont="1" applyFill="1" applyBorder="1" applyAlignment="1">
      <alignment horizontal="center" vertical="center"/>
    </xf>
    <xf numFmtId="9" fontId="85" fillId="19" borderId="70" xfId="1" applyNumberFormat="1" applyFont="1" applyFill="1" applyBorder="1" applyAlignment="1">
      <alignment horizontal="center" vertical="center"/>
    </xf>
    <xf numFmtId="9" fontId="85" fillId="19" borderId="3" xfId="1" applyNumberFormat="1" applyFont="1" applyFill="1" applyBorder="1" applyAlignment="1">
      <alignment horizontal="center" vertical="center"/>
    </xf>
    <xf numFmtId="9" fontId="85" fillId="19" borderId="66" xfId="1" applyFont="1" applyFill="1" applyBorder="1" applyAlignment="1">
      <alignment horizontal="center" vertical="center"/>
    </xf>
    <xf numFmtId="9" fontId="84" fillId="19" borderId="1" xfId="1" applyNumberFormat="1" applyFont="1" applyFill="1" applyBorder="1" applyAlignment="1">
      <alignment horizontal="center" vertical="center"/>
    </xf>
    <xf numFmtId="9" fontId="84" fillId="19" borderId="5" xfId="1" applyNumberFormat="1" applyFont="1" applyFill="1" applyBorder="1" applyAlignment="1">
      <alignment horizontal="center" vertical="center"/>
    </xf>
    <xf numFmtId="9" fontId="84" fillId="19" borderId="28" xfId="1" applyNumberFormat="1" applyFont="1" applyFill="1" applyBorder="1" applyAlignment="1">
      <alignment horizontal="center" vertical="center"/>
    </xf>
    <xf numFmtId="9" fontId="84" fillId="19" borderId="7" xfId="1" applyNumberFormat="1" applyFont="1" applyFill="1" applyBorder="1" applyAlignment="1">
      <alignment horizontal="center" vertical="center"/>
    </xf>
    <xf numFmtId="9" fontId="84" fillId="19" borderId="9" xfId="1" applyNumberFormat="1" applyFont="1" applyFill="1" applyBorder="1" applyAlignment="1">
      <alignment horizontal="center" vertical="center"/>
    </xf>
    <xf numFmtId="9" fontId="84" fillId="19" borderId="29" xfId="1" applyNumberFormat="1" applyFont="1" applyFill="1" applyBorder="1" applyAlignment="1">
      <alignment horizontal="center" vertical="center"/>
    </xf>
    <xf numFmtId="9" fontId="43" fillId="19" borderId="34" xfId="1" applyNumberFormat="1" applyFont="1" applyFill="1" applyBorder="1" applyAlignment="1">
      <alignment horizontal="center" vertical="center"/>
    </xf>
    <xf numFmtId="9" fontId="84" fillId="19" borderId="39" xfId="1" applyNumberFormat="1" applyFont="1" applyFill="1" applyBorder="1" applyAlignment="1">
      <alignment horizontal="center" vertical="center"/>
    </xf>
    <xf numFmtId="9" fontId="84" fillId="19" borderId="46" xfId="1" applyNumberFormat="1" applyFont="1" applyFill="1" applyBorder="1" applyAlignment="1">
      <alignment horizontal="center" vertical="center"/>
    </xf>
    <xf numFmtId="9" fontId="85" fillId="19" borderId="69" xfId="1" applyFont="1" applyFill="1" applyBorder="1" applyAlignment="1">
      <alignment horizontal="center" vertical="center"/>
    </xf>
    <xf numFmtId="9" fontId="85" fillId="19" borderId="50" xfId="1" applyFont="1" applyFill="1" applyBorder="1" applyAlignment="1">
      <alignment horizontal="center" vertical="center"/>
    </xf>
    <xf numFmtId="9" fontId="85" fillId="19" borderId="72" xfId="1" applyFont="1" applyFill="1" applyBorder="1" applyAlignment="1">
      <alignment horizontal="center" vertical="center"/>
    </xf>
    <xf numFmtId="9" fontId="43" fillId="19" borderId="33" xfId="1" applyFont="1" applyFill="1" applyBorder="1" applyAlignment="1">
      <alignment horizontal="center" vertical="center"/>
    </xf>
    <xf numFmtId="9" fontId="84" fillId="19" borderId="5" xfId="1" applyFont="1" applyFill="1" applyBorder="1" applyAlignment="1">
      <alignment horizontal="center" vertical="center"/>
    </xf>
    <xf numFmtId="9" fontId="84" fillId="19" borderId="7" xfId="1" applyFont="1" applyFill="1" applyBorder="1" applyAlignment="1">
      <alignment horizontal="center" vertical="center"/>
    </xf>
    <xf numFmtId="9" fontId="84" fillId="19" borderId="9" xfId="1" applyFont="1" applyFill="1" applyBorder="1" applyAlignment="1">
      <alignment horizontal="center" vertical="center"/>
    </xf>
    <xf numFmtId="9" fontId="84" fillId="19" borderId="39" xfId="1" applyFont="1" applyFill="1" applyBorder="1" applyAlignment="1">
      <alignment horizontal="center" vertical="center"/>
    </xf>
    <xf numFmtId="9" fontId="43" fillId="19" borderId="70" xfId="1" applyFont="1" applyFill="1" applyBorder="1" applyAlignment="1">
      <alignment horizontal="center" vertical="center"/>
    </xf>
    <xf numFmtId="9" fontId="43" fillId="19" borderId="42" xfId="1" applyFont="1" applyFill="1" applyBorder="1" applyAlignment="1">
      <alignment horizontal="center" vertical="center"/>
    </xf>
    <xf numFmtId="9" fontId="43" fillId="19" borderId="73" xfId="1" applyFont="1" applyFill="1" applyBorder="1" applyAlignment="1">
      <alignment horizontal="center" vertical="center"/>
    </xf>
    <xf numFmtId="9" fontId="43" fillId="19" borderId="56" xfId="1" applyFont="1" applyFill="1" applyBorder="1" applyAlignment="1">
      <alignment horizontal="center" vertical="center"/>
    </xf>
    <xf numFmtId="9" fontId="43" fillId="19" borderId="52" xfId="1" applyFont="1" applyFill="1" applyBorder="1" applyAlignment="1">
      <alignment horizontal="center" vertical="center"/>
    </xf>
    <xf numFmtId="9" fontId="43" fillId="0" borderId="52" xfId="1" applyFont="1" applyFill="1" applyBorder="1" applyAlignment="1">
      <alignment horizontal="center" vertical="center"/>
    </xf>
    <xf numFmtId="9" fontId="43" fillId="19" borderId="53" xfId="1" applyFont="1" applyFill="1" applyBorder="1" applyAlignment="1">
      <alignment horizontal="center" vertical="center"/>
    </xf>
    <xf numFmtId="9" fontId="43" fillId="19" borderId="70" xfId="1" applyNumberFormat="1" applyFont="1" applyFill="1" applyBorder="1" applyAlignment="1">
      <alignment horizontal="center" vertical="center"/>
    </xf>
    <xf numFmtId="0" fontId="65" fillId="0" borderId="0" xfId="0" applyFont="1" applyAlignment="1">
      <alignment horizontal="center"/>
    </xf>
    <xf numFmtId="9" fontId="43" fillId="19" borderId="3" xfId="1" applyFont="1" applyFill="1" applyBorder="1" applyAlignment="1">
      <alignment horizontal="center" vertical="center"/>
    </xf>
    <xf numFmtId="9" fontId="43" fillId="0" borderId="69" xfId="1" applyFont="1" applyFill="1" applyBorder="1" applyAlignment="1">
      <alignment horizontal="center" vertical="center"/>
    </xf>
    <xf numFmtId="9" fontId="43" fillId="0" borderId="50" xfId="1" applyFont="1" applyFill="1" applyBorder="1" applyAlignment="1">
      <alignment horizontal="center" vertical="center"/>
    </xf>
    <xf numFmtId="9" fontId="43" fillId="0" borderId="72" xfId="1" applyFont="1" applyFill="1" applyBorder="1" applyAlignment="1">
      <alignment horizontal="center" vertical="center"/>
    </xf>
    <xf numFmtId="9" fontId="43" fillId="19" borderId="76" xfId="1" applyFont="1" applyFill="1" applyBorder="1" applyAlignment="1">
      <alignment horizontal="center" vertical="center"/>
    </xf>
    <xf numFmtId="0" fontId="49" fillId="0" borderId="1" xfId="0" applyFont="1" applyBorder="1" applyAlignment="1">
      <alignment wrapText="1"/>
    </xf>
    <xf numFmtId="0" fontId="49" fillId="0" borderId="1" xfId="0" applyFont="1" applyFill="1" applyBorder="1" applyAlignment="1">
      <alignment horizontal="justify" vertical="center" wrapText="1"/>
    </xf>
    <xf numFmtId="0" fontId="49" fillId="0" borderId="1" xfId="0" applyFont="1" applyFill="1" applyBorder="1" applyAlignment="1">
      <alignment horizontal="justify" vertical="center"/>
    </xf>
    <xf numFmtId="14" fontId="0" fillId="0" borderId="1" xfId="0" applyNumberFormat="1" applyBorder="1" applyAlignment="1">
      <alignment vertical="center"/>
    </xf>
    <xf numFmtId="4" fontId="76" fillId="10" borderId="8" xfId="0" applyNumberFormat="1" applyFont="1" applyFill="1" applyBorder="1"/>
    <xf numFmtId="10" fontId="60" fillId="19" borderId="1" xfId="1" applyNumberFormat="1" applyFont="1" applyFill="1" applyBorder="1" applyAlignment="1">
      <alignment horizontal="right" vertical="center"/>
    </xf>
    <xf numFmtId="9" fontId="43" fillId="19" borderId="42" xfId="1" applyNumberFormat="1" applyFont="1" applyFill="1" applyBorder="1" applyAlignment="1">
      <alignment horizontal="center" vertical="center"/>
    </xf>
    <xf numFmtId="9" fontId="84" fillId="19" borderId="57" xfId="1" applyNumberFormat="1" applyFont="1" applyFill="1" applyBorder="1" applyAlignment="1">
      <alignment horizontal="center" vertical="center"/>
    </xf>
    <xf numFmtId="0" fontId="59" fillId="0" borderId="18" xfId="0" applyFont="1" applyFill="1" applyBorder="1" applyAlignment="1">
      <alignment horizontal="justify" vertical="center" wrapText="1"/>
    </xf>
    <xf numFmtId="0" fontId="59" fillId="0" borderId="4" xfId="0" applyFont="1" applyFill="1" applyBorder="1" applyAlignment="1">
      <alignment horizontal="justify" vertical="center" wrapText="1"/>
    </xf>
    <xf numFmtId="9" fontId="49" fillId="28" borderId="1" xfId="1" applyFont="1" applyFill="1" applyBorder="1" applyAlignment="1">
      <alignment horizontal="left" vertical="center" wrapText="1"/>
    </xf>
    <xf numFmtId="0" fontId="4" fillId="0" borderId="0" xfId="0" applyFont="1"/>
    <xf numFmtId="0" fontId="4" fillId="0" borderId="1" xfId="0" applyFont="1" applyBorder="1" applyAlignment="1">
      <alignment horizontal="center"/>
    </xf>
    <xf numFmtId="0" fontId="0" fillId="0" borderId="59" xfId="0" applyBorder="1" applyAlignment="1">
      <alignment horizontal="center" vertical="center"/>
    </xf>
    <xf numFmtId="9" fontId="0" fillId="0" borderId="0" xfId="1" applyFont="1" applyFill="1"/>
    <xf numFmtId="9" fontId="49" fillId="0" borderId="1" xfId="0" applyNumberFormat="1" applyFont="1" applyBorder="1" applyAlignment="1">
      <alignment vertical="center" wrapText="1"/>
    </xf>
    <xf numFmtId="0" fontId="71" fillId="0" borderId="0" xfId="0" applyFont="1" applyFill="1" applyBorder="1" applyAlignment="1">
      <alignment horizontal="right"/>
    </xf>
    <xf numFmtId="168" fontId="71" fillId="27" borderId="15" xfId="1" applyNumberFormat="1" applyFont="1" applyFill="1" applyBorder="1" applyAlignment="1">
      <alignment horizontal="right" vertical="center"/>
    </xf>
    <xf numFmtId="9" fontId="72" fillId="19" borderId="47" xfId="1" applyNumberFormat="1" applyFont="1" applyFill="1" applyBorder="1" applyAlignment="1">
      <alignment horizontal="right" vertical="center"/>
    </xf>
    <xf numFmtId="9" fontId="72" fillId="19" borderId="47" xfId="1" applyFont="1" applyFill="1" applyBorder="1" applyAlignment="1">
      <alignment horizontal="right" vertical="center"/>
    </xf>
    <xf numFmtId="0" fontId="70" fillId="19" borderId="0" xfId="0" applyFont="1" applyFill="1"/>
    <xf numFmtId="9" fontId="39" fillId="29" borderId="40" xfId="1" applyFont="1" applyFill="1" applyBorder="1" applyAlignment="1">
      <alignment horizontal="right" vertical="center"/>
    </xf>
    <xf numFmtId="9" fontId="67" fillId="29" borderId="40" xfId="1" applyFont="1" applyFill="1" applyBorder="1" applyAlignment="1">
      <alignment horizontal="right" vertical="center"/>
    </xf>
    <xf numFmtId="9" fontId="39" fillId="17" borderId="40" xfId="1" applyFont="1" applyFill="1" applyBorder="1" applyAlignment="1">
      <alignment horizontal="right" vertical="center"/>
    </xf>
    <xf numFmtId="9" fontId="67" fillId="17" borderId="40" xfId="1" applyFont="1" applyFill="1" applyBorder="1" applyAlignment="1">
      <alignment horizontal="right" vertical="center"/>
    </xf>
    <xf numFmtId="3" fontId="55" fillId="26" borderId="49" xfId="0" applyNumberFormat="1" applyFont="1" applyFill="1" applyBorder="1" applyAlignment="1">
      <alignment horizontal="center" vertical="center" wrapText="1"/>
    </xf>
    <xf numFmtId="0" fontId="66" fillId="0" borderId="0" xfId="0" applyFont="1" applyFill="1" applyBorder="1" applyAlignment="1">
      <alignment horizontal="center" vertical="center"/>
    </xf>
    <xf numFmtId="168" fontId="71" fillId="0" borderId="0" xfId="1" applyNumberFormat="1" applyFont="1" applyFill="1" applyBorder="1" applyAlignment="1">
      <alignment horizontal="right" vertical="center"/>
    </xf>
    <xf numFmtId="9" fontId="43" fillId="19" borderId="33" xfId="1" applyNumberFormat="1" applyFont="1" applyFill="1" applyBorder="1" applyAlignment="1">
      <alignment horizontal="center" vertical="center"/>
    </xf>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74" fillId="0" borderId="61" xfId="0" applyFont="1" applyBorder="1" applyAlignment="1">
      <alignment horizontal="center"/>
    </xf>
    <xf numFmtId="9" fontId="60" fillId="19" borderId="2" xfId="1" applyFont="1" applyFill="1" applyBorder="1" applyAlignment="1">
      <alignment horizontal="right" vertical="center"/>
    </xf>
    <xf numFmtId="10" fontId="60" fillId="19" borderId="2" xfId="1" applyNumberFormat="1" applyFont="1" applyFill="1" applyBorder="1" applyAlignment="1">
      <alignment horizontal="right" vertical="center"/>
    </xf>
    <xf numFmtId="9" fontId="60" fillId="19" borderId="23" xfId="1" applyFont="1" applyFill="1" applyBorder="1" applyAlignment="1">
      <alignment horizontal="right" vertical="center"/>
    </xf>
    <xf numFmtId="9" fontId="67" fillId="19" borderId="77" xfId="1" applyFont="1" applyFill="1" applyBorder="1" applyAlignment="1">
      <alignment horizontal="right" vertical="center"/>
    </xf>
    <xf numFmtId="9" fontId="67" fillId="19" borderId="78" xfId="1" applyFont="1" applyFill="1" applyBorder="1" applyAlignment="1">
      <alignment horizontal="right" vertical="center"/>
    </xf>
    <xf numFmtId="9" fontId="72" fillId="19" borderId="78" xfId="1" applyNumberFormat="1" applyFont="1" applyFill="1" applyBorder="1" applyAlignment="1">
      <alignment horizontal="right" vertical="center"/>
    </xf>
    <xf numFmtId="9" fontId="39" fillId="19" borderId="77" xfId="1" applyFont="1" applyFill="1" applyBorder="1" applyAlignment="1">
      <alignment horizontal="right" vertical="center"/>
    </xf>
    <xf numFmtId="9" fontId="67" fillId="19" borderId="2" xfId="1" applyFont="1" applyFill="1" applyBorder="1" applyAlignment="1">
      <alignment horizontal="right" vertical="center"/>
    </xf>
    <xf numFmtId="9" fontId="60" fillId="19" borderId="58" xfId="1" applyFont="1" applyFill="1" applyBorder="1" applyAlignment="1">
      <alignment horizontal="right" vertical="center"/>
    </xf>
    <xf numFmtId="9" fontId="60" fillId="19" borderId="18" xfId="1" applyNumberFormat="1" applyFont="1" applyFill="1" applyBorder="1" applyAlignment="1">
      <alignment horizontal="right" vertical="center"/>
    </xf>
    <xf numFmtId="9" fontId="39" fillId="30" borderId="77" xfId="1" applyFont="1" applyFill="1" applyBorder="1" applyAlignment="1">
      <alignment horizontal="right" vertical="center"/>
    </xf>
    <xf numFmtId="9" fontId="72" fillId="19" borderId="78" xfId="1" applyFont="1" applyFill="1" applyBorder="1" applyAlignment="1">
      <alignment horizontal="right" vertical="center"/>
    </xf>
    <xf numFmtId="9" fontId="72" fillId="19" borderId="40" xfId="1" applyNumberFormat="1" applyFont="1" applyFill="1" applyBorder="1" applyAlignment="1">
      <alignment horizontal="right" vertical="center"/>
    </xf>
    <xf numFmtId="0" fontId="93" fillId="0" borderId="43" xfId="0" applyFont="1" applyFill="1" applyBorder="1" applyAlignment="1">
      <alignment horizontal="right"/>
    </xf>
    <xf numFmtId="9" fontId="60" fillId="19" borderId="1" xfId="1" applyNumberFormat="1" applyFont="1" applyFill="1" applyBorder="1" applyAlignment="1">
      <alignment horizontal="right" vertical="center"/>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0" fontId="93" fillId="0" borderId="0" xfId="0" applyFont="1" applyFill="1" applyBorder="1" applyAlignment="1">
      <alignment horizontal="right"/>
    </xf>
    <xf numFmtId="9" fontId="39" fillId="30" borderId="40" xfId="1" applyFont="1" applyFill="1" applyBorder="1" applyAlignment="1">
      <alignment horizontal="right" vertical="center"/>
    </xf>
    <xf numFmtId="0" fontId="0" fillId="0" borderId="0" xfId="0" applyBorder="1" applyAlignment="1">
      <alignment horizontal="center"/>
    </xf>
    <xf numFmtId="9" fontId="60" fillId="19" borderId="4"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8" xfId="1" applyFont="1" applyFill="1" applyBorder="1" applyAlignment="1">
      <alignment horizontal="right" vertical="center"/>
    </xf>
    <xf numFmtId="0" fontId="0" fillId="0" borderId="0" xfId="0" applyAlignment="1">
      <alignment horizontal="center"/>
    </xf>
    <xf numFmtId="9" fontId="67" fillId="30" borderId="77" xfId="1" applyFont="1" applyFill="1" applyBorder="1" applyAlignment="1">
      <alignment horizontal="right" vertical="center"/>
    </xf>
    <xf numFmtId="9" fontId="67" fillId="30" borderId="40" xfId="1" applyFont="1" applyFill="1" applyBorder="1" applyAlignment="1">
      <alignment horizontal="right" vertical="center"/>
    </xf>
    <xf numFmtId="9" fontId="39" fillId="30" borderId="34" xfId="1" applyFont="1" applyFill="1" applyBorder="1" applyAlignment="1">
      <alignment horizontal="right" vertical="center"/>
    </xf>
    <xf numFmtId="9" fontId="39" fillId="19" borderId="33" xfId="1" applyFont="1" applyFill="1" applyBorder="1" applyAlignment="1">
      <alignment horizontal="right" vertical="center"/>
    </xf>
    <xf numFmtId="9" fontId="39" fillId="29" borderId="77" xfId="1" applyFont="1" applyFill="1" applyBorder="1" applyAlignment="1">
      <alignment horizontal="right" vertical="center"/>
    </xf>
    <xf numFmtId="9" fontId="67" fillId="29" borderId="77" xfId="1" applyFont="1" applyFill="1" applyBorder="1" applyAlignment="1">
      <alignment horizontal="right" vertical="center"/>
    </xf>
    <xf numFmtId="9" fontId="39" fillId="17" borderId="77" xfId="1" applyFont="1" applyFill="1" applyBorder="1" applyAlignment="1">
      <alignment horizontal="right" vertical="center"/>
    </xf>
    <xf numFmtId="9" fontId="67" fillId="17" borderId="77" xfId="1" applyFont="1" applyFill="1" applyBorder="1" applyAlignment="1">
      <alignment horizontal="right" vertical="center"/>
    </xf>
    <xf numFmtId="9" fontId="84" fillId="19" borderId="0" xfId="1" applyNumberFormat="1" applyFont="1" applyFill="1" applyBorder="1" applyAlignment="1">
      <alignment horizontal="center" vertical="center"/>
    </xf>
    <xf numFmtId="9" fontId="43" fillId="19" borderId="0" xfId="1" applyNumberFormat="1" applyFont="1" applyFill="1" applyBorder="1" applyAlignment="1">
      <alignment horizontal="center" vertical="center"/>
    </xf>
    <xf numFmtId="0" fontId="9" fillId="0" borderId="0" xfId="0" applyFont="1"/>
    <xf numFmtId="9" fontId="84" fillId="19" borderId="60" xfId="1" applyNumberFormat="1" applyFont="1" applyFill="1" applyBorder="1" applyAlignment="1">
      <alignment horizontal="center" vertical="center"/>
    </xf>
    <xf numFmtId="9" fontId="84" fillId="19" borderId="59" xfId="1" applyNumberFormat="1" applyFont="1" applyFill="1" applyBorder="1" applyAlignment="1">
      <alignment horizontal="center" vertical="center"/>
    </xf>
    <xf numFmtId="9" fontId="84" fillId="19" borderId="61" xfId="1" applyNumberFormat="1" applyFont="1" applyFill="1" applyBorder="1" applyAlignment="1">
      <alignment horizontal="center" vertical="center"/>
    </xf>
    <xf numFmtId="9" fontId="41" fillId="26" borderId="24" xfId="1" applyFont="1" applyFill="1" applyBorder="1" applyAlignment="1">
      <alignment horizontal="center" vertical="center" wrapText="1"/>
    </xf>
    <xf numFmtId="9" fontId="43" fillId="19" borderId="52" xfId="1" applyNumberFormat="1" applyFont="1" applyFill="1" applyBorder="1" applyAlignment="1">
      <alignment horizontal="center" vertical="center"/>
    </xf>
    <xf numFmtId="9" fontId="43" fillId="19" borderId="53" xfId="1" applyNumberFormat="1" applyFont="1" applyFill="1" applyBorder="1" applyAlignment="1">
      <alignment horizontal="center" vertical="center"/>
    </xf>
    <xf numFmtId="9" fontId="43" fillId="19" borderId="49" xfId="1" applyNumberFormat="1" applyFont="1" applyFill="1" applyBorder="1" applyAlignment="1">
      <alignment horizontal="center" vertical="center"/>
    </xf>
    <xf numFmtId="9" fontId="43" fillId="19" borderId="56" xfId="1" applyNumberFormat="1" applyFont="1" applyFill="1" applyBorder="1" applyAlignment="1">
      <alignment horizontal="center" vertical="center"/>
    </xf>
    <xf numFmtId="0" fontId="49" fillId="0" borderId="17" xfId="0" applyFont="1" applyFill="1" applyBorder="1" applyAlignment="1">
      <alignment horizontal="justify" vertical="center" wrapText="1"/>
    </xf>
    <xf numFmtId="9" fontId="52" fillId="19" borderId="5" xfId="1" applyFont="1" applyFill="1" applyBorder="1" applyAlignment="1">
      <alignment horizontal="right" vertical="center"/>
    </xf>
    <xf numFmtId="9" fontId="60" fillId="19" borderId="28" xfId="1" applyFont="1" applyFill="1" applyBorder="1" applyAlignment="1">
      <alignment horizontal="right" vertical="center"/>
    </xf>
    <xf numFmtId="9" fontId="60" fillId="19" borderId="60" xfId="1" applyFont="1" applyFill="1" applyBorder="1" applyAlignment="1">
      <alignment horizontal="right" vertical="center"/>
    </xf>
    <xf numFmtId="9" fontId="60" fillId="19" borderId="71" xfId="1" applyFont="1" applyFill="1" applyBorder="1" applyAlignment="1">
      <alignment horizontal="right" vertical="center"/>
    </xf>
    <xf numFmtId="9" fontId="39" fillId="30" borderId="46" xfId="1" applyFont="1" applyFill="1" applyBorder="1" applyAlignment="1">
      <alignment horizontal="right" vertical="center"/>
    </xf>
    <xf numFmtId="9" fontId="67" fillId="30" borderId="46" xfId="1" applyFont="1" applyFill="1" applyBorder="1" applyAlignment="1">
      <alignment horizontal="right" vertical="center"/>
    </xf>
    <xf numFmtId="9" fontId="72" fillId="19" borderId="46" xfId="1" applyFont="1" applyFill="1" applyBorder="1" applyAlignment="1">
      <alignment horizontal="right" vertical="center"/>
    </xf>
    <xf numFmtId="0" fontId="58" fillId="0" borderId="12" xfId="0" applyFont="1" applyBorder="1" applyAlignment="1">
      <alignment vertical="center" wrapText="1"/>
    </xf>
    <xf numFmtId="0" fontId="9" fillId="0" borderId="0" xfId="0" applyFont="1" applyFill="1" applyAlignment="1">
      <alignment wrapText="1"/>
    </xf>
    <xf numFmtId="10" fontId="52" fillId="19" borderId="7" xfId="1" applyNumberFormat="1" applyFont="1" applyFill="1" applyBorder="1" applyAlignment="1">
      <alignment horizontal="right" vertical="center"/>
    </xf>
    <xf numFmtId="10" fontId="60" fillId="19" borderId="18" xfId="1" applyNumberFormat="1" applyFont="1" applyFill="1" applyBorder="1" applyAlignment="1">
      <alignment horizontal="right" vertical="center"/>
    </xf>
    <xf numFmtId="10" fontId="60" fillId="19" borderId="58" xfId="1" applyNumberFormat="1" applyFont="1" applyFill="1" applyBorder="1" applyAlignment="1">
      <alignment horizontal="right" vertical="center"/>
    </xf>
    <xf numFmtId="9" fontId="39" fillId="29" borderId="46" xfId="1" applyFont="1" applyFill="1" applyBorder="1" applyAlignment="1">
      <alignment horizontal="right" vertical="center"/>
    </xf>
    <xf numFmtId="9" fontId="67" fillId="29" borderId="46" xfId="1" applyFont="1" applyFill="1" applyBorder="1" applyAlignment="1">
      <alignment horizontal="right" vertical="center"/>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0" fontId="7" fillId="0" borderId="73" xfId="0" applyFont="1" applyFill="1" applyBorder="1" applyAlignment="1">
      <alignment horizontal="center" vertical="center" wrapText="1"/>
    </xf>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0" fontId="0" fillId="0" borderId="1" xfId="0" applyBorder="1" applyAlignment="1">
      <alignment horizontal="justify" vertical="center" wrapText="1"/>
    </xf>
    <xf numFmtId="0" fontId="4" fillId="0" borderId="1" xfId="0" applyFont="1" applyBorder="1" applyAlignment="1">
      <alignment horizontal="center"/>
    </xf>
    <xf numFmtId="0" fontId="0" fillId="0" borderId="0" xfId="0" applyBorder="1" applyAlignment="1">
      <alignment horizontal="justify" vertical="center" wrapText="1"/>
    </xf>
    <xf numFmtId="0" fontId="0" fillId="0" borderId="1" xfId="0" applyBorder="1" applyAlignment="1">
      <alignment horizontal="center" vertical="center"/>
    </xf>
    <xf numFmtId="0" fontId="53" fillId="0" borderId="0" xfId="0" applyFont="1" applyAlignment="1">
      <alignment horizontal="justify" wrapText="1"/>
    </xf>
    <xf numFmtId="0" fontId="81" fillId="0" borderId="11" xfId="0" applyFont="1" applyFill="1" applyBorder="1" applyAlignment="1">
      <alignment horizontal="center" vertical="center"/>
    </xf>
    <xf numFmtId="0" fontId="81" fillId="0" borderId="41" xfId="0" applyFont="1" applyFill="1" applyBorder="1" applyAlignment="1">
      <alignment horizontal="center" vertical="center"/>
    </xf>
    <xf numFmtId="0" fontId="81" fillId="0" borderId="4" xfId="0" applyFont="1" applyFill="1" applyBorder="1" applyAlignment="1">
      <alignment horizontal="center" vertical="center" wrapText="1"/>
    </xf>
    <xf numFmtId="0" fontId="81" fillId="0" borderId="18" xfId="0" applyFont="1" applyFill="1" applyBorder="1" applyAlignment="1">
      <alignment horizontal="center" vertical="center" wrapText="1"/>
    </xf>
    <xf numFmtId="0" fontId="81" fillId="0" borderId="4" xfId="0" applyFont="1" applyFill="1" applyBorder="1" applyAlignment="1">
      <alignment horizontal="center" vertical="center"/>
    </xf>
    <xf numFmtId="0" fontId="81" fillId="0" borderId="18" xfId="0" applyFont="1" applyFill="1" applyBorder="1" applyAlignment="1">
      <alignment horizontal="center" vertical="center"/>
    </xf>
    <xf numFmtId="0" fontId="81" fillId="0" borderId="4" xfId="0" applyFont="1" applyFill="1" applyBorder="1" applyAlignment="1">
      <alignment horizontal="justify" vertical="center" wrapText="1"/>
    </xf>
    <xf numFmtId="0" fontId="81" fillId="0" borderId="18" xfId="0" applyFont="1" applyFill="1" applyBorder="1" applyAlignment="1">
      <alignment horizontal="justify" vertical="center" wrapText="1"/>
    </xf>
    <xf numFmtId="9" fontId="81" fillId="0" borderId="4" xfId="0" applyNumberFormat="1" applyFont="1" applyFill="1" applyBorder="1" applyAlignment="1">
      <alignment horizontal="center" vertical="center"/>
    </xf>
    <xf numFmtId="9" fontId="81" fillId="0" borderId="18" xfId="0" applyNumberFormat="1" applyFont="1" applyFill="1" applyBorder="1" applyAlignment="1">
      <alignment horizontal="center" vertical="center"/>
    </xf>
    <xf numFmtId="0" fontId="81" fillId="0" borderId="17" xfId="0" applyFont="1" applyFill="1" applyBorder="1" applyAlignment="1">
      <alignment horizontal="center" vertical="center" wrapText="1"/>
    </xf>
    <xf numFmtId="42" fontId="81" fillId="0" borderId="4" xfId="5" applyFont="1" applyFill="1" applyBorder="1" applyAlignment="1">
      <alignment horizontal="center" vertical="center"/>
    </xf>
    <xf numFmtId="42" fontId="81" fillId="0" borderId="18" xfId="5" applyFont="1" applyFill="1" applyBorder="1" applyAlignment="1">
      <alignment horizontal="center" vertical="center"/>
    </xf>
    <xf numFmtId="42" fontId="81" fillId="0" borderId="17" xfId="5" applyFont="1" applyFill="1" applyBorder="1" applyAlignment="1">
      <alignment horizontal="center" vertical="center"/>
    </xf>
    <xf numFmtId="9" fontId="81" fillId="0" borderId="4" xfId="1" applyFont="1" applyFill="1" applyBorder="1" applyAlignment="1">
      <alignment horizontal="center" vertical="center"/>
    </xf>
    <xf numFmtId="9" fontId="81" fillId="0" borderId="17" xfId="1" applyFont="1" applyFill="1" applyBorder="1" applyAlignment="1">
      <alignment horizontal="center" vertical="center"/>
    </xf>
    <xf numFmtId="9" fontId="81" fillId="0" borderId="1" xfId="0" applyNumberFormat="1" applyFont="1" applyFill="1" applyBorder="1" applyAlignment="1">
      <alignment horizontal="justify" vertical="center" wrapText="1"/>
    </xf>
    <xf numFmtId="9" fontId="81" fillId="0" borderId="4" xfId="1" applyNumberFormat="1" applyFont="1" applyFill="1" applyBorder="1" applyAlignment="1">
      <alignment horizontal="center" vertical="center" wrapText="1"/>
    </xf>
    <xf numFmtId="9" fontId="81" fillId="0" borderId="17" xfId="1" applyNumberFormat="1" applyFont="1" applyFill="1" applyBorder="1" applyAlignment="1">
      <alignment horizontal="center" vertical="center" wrapText="1"/>
    </xf>
    <xf numFmtId="9" fontId="81" fillId="0" borderId="18" xfId="1" applyNumberFormat="1" applyFont="1" applyFill="1" applyBorder="1" applyAlignment="1">
      <alignment horizontal="center" vertical="center" wrapText="1"/>
    </xf>
    <xf numFmtId="42" fontId="81" fillId="0" borderId="4" xfId="5" applyFont="1" applyFill="1" applyBorder="1" applyAlignment="1">
      <alignment horizontal="center"/>
    </xf>
    <xf numFmtId="42" fontId="81" fillId="0" borderId="18" xfId="5" applyFont="1" applyFill="1" applyBorder="1" applyAlignment="1">
      <alignment horizontal="center"/>
    </xf>
    <xf numFmtId="0" fontId="81" fillId="0" borderId="18" xfId="0" applyFont="1" applyFill="1" applyBorder="1" applyAlignment="1">
      <alignment horizontal="justify" vertical="center"/>
    </xf>
    <xf numFmtId="42" fontId="49" fillId="10" borderId="4" xfId="5" applyFont="1" applyFill="1" applyBorder="1" applyAlignment="1">
      <alignment horizontal="center" vertical="center"/>
    </xf>
    <xf numFmtId="42" fontId="49" fillId="10" borderId="18" xfId="5" applyFont="1" applyFill="1" applyBorder="1" applyAlignment="1">
      <alignment horizontal="center" vertical="center"/>
    </xf>
    <xf numFmtId="0" fontId="81" fillId="0" borderId="4" xfId="0" applyFont="1" applyFill="1" applyBorder="1" applyAlignment="1">
      <alignment horizontal="center"/>
    </xf>
    <xf numFmtId="0" fontId="81" fillId="0" borderId="17" xfId="0" applyFont="1" applyFill="1" applyBorder="1" applyAlignment="1">
      <alignment horizontal="center"/>
    </xf>
    <xf numFmtId="0" fontId="81" fillId="0" borderId="18" xfId="0" applyFont="1" applyFill="1" applyBorder="1" applyAlignment="1">
      <alignment horizontal="center"/>
    </xf>
    <xf numFmtId="9" fontId="81" fillId="0" borderId="4" xfId="1" applyNumberFormat="1" applyFont="1" applyFill="1" applyBorder="1" applyAlignment="1">
      <alignment horizontal="center" vertical="center"/>
    </xf>
    <xf numFmtId="9" fontId="81" fillId="0" borderId="17" xfId="1" applyNumberFormat="1" applyFont="1" applyFill="1" applyBorder="1" applyAlignment="1">
      <alignment horizontal="center" vertical="center"/>
    </xf>
    <xf numFmtId="9" fontId="81" fillId="0" borderId="18" xfId="1" applyNumberFormat="1" applyFont="1" applyFill="1" applyBorder="1" applyAlignment="1">
      <alignment horizontal="center" vertical="center"/>
    </xf>
    <xf numFmtId="9" fontId="81" fillId="0" borderId="17" xfId="0" applyNumberFormat="1" applyFont="1" applyFill="1" applyBorder="1" applyAlignment="1">
      <alignment horizontal="center" vertical="center"/>
    </xf>
    <xf numFmtId="0" fontId="81" fillId="0" borderId="4" xfId="0" applyFont="1" applyFill="1" applyBorder="1" applyAlignment="1">
      <alignment horizontal="left" vertical="top" wrapText="1"/>
    </xf>
    <xf numFmtId="0" fontId="81" fillId="0" borderId="18" xfId="0" applyFont="1" applyFill="1" applyBorder="1" applyAlignment="1">
      <alignment horizontal="left" vertical="top" wrapText="1"/>
    </xf>
    <xf numFmtId="42" fontId="81" fillId="0" borderId="4" xfId="1" applyNumberFormat="1" applyFont="1" applyFill="1" applyBorder="1" applyAlignment="1">
      <alignment horizontal="center" vertical="center"/>
    </xf>
    <xf numFmtId="42" fontId="81" fillId="0" borderId="17" xfId="1" applyNumberFormat="1" applyFont="1" applyFill="1" applyBorder="1" applyAlignment="1">
      <alignment horizontal="center" vertical="center"/>
    </xf>
    <xf numFmtId="42" fontId="81" fillId="0" borderId="18" xfId="1" applyNumberFormat="1" applyFont="1" applyFill="1" applyBorder="1" applyAlignment="1">
      <alignment horizontal="center" vertical="center"/>
    </xf>
    <xf numFmtId="9" fontId="81" fillId="0" borderId="4" xfId="1" applyFont="1" applyFill="1" applyBorder="1" applyAlignment="1">
      <alignment horizontal="center" vertical="center" wrapText="1"/>
    </xf>
    <xf numFmtId="9" fontId="81" fillId="0" borderId="18" xfId="1" applyFont="1" applyFill="1" applyBorder="1" applyAlignment="1">
      <alignment horizontal="center" vertical="center" wrapText="1"/>
    </xf>
    <xf numFmtId="9" fontId="49" fillId="28" borderId="4" xfId="1" applyFont="1" applyFill="1" applyBorder="1" applyAlignment="1">
      <alignment horizontal="left" vertical="center" wrapText="1"/>
    </xf>
    <xf numFmtId="9" fontId="49" fillId="28" borderId="18" xfId="1" applyFont="1" applyFill="1" applyBorder="1" applyAlignment="1">
      <alignment horizontal="left" vertical="center" wrapText="1"/>
    </xf>
    <xf numFmtId="9" fontId="81" fillId="0" borderId="17" xfId="1" applyFont="1" applyFill="1" applyBorder="1" applyAlignment="1">
      <alignment horizontal="center" vertical="center" wrapText="1"/>
    </xf>
    <xf numFmtId="0" fontId="81" fillId="0" borderId="17" xfId="0" applyFont="1" applyFill="1" applyBorder="1" applyAlignment="1">
      <alignment horizontal="center" vertical="center"/>
    </xf>
    <xf numFmtId="9" fontId="81" fillId="0" borderId="18" xfId="1" applyFont="1" applyFill="1" applyBorder="1" applyAlignment="1">
      <alignment horizontal="center" vertical="center"/>
    </xf>
    <xf numFmtId="42" fontId="49" fillId="10" borderId="17" xfId="5" applyFont="1" applyFill="1" applyBorder="1" applyAlignment="1">
      <alignment horizontal="center" vertical="center"/>
    </xf>
    <xf numFmtId="173" fontId="29" fillId="10" borderId="4" xfId="0" applyNumberFormat="1" applyFont="1" applyFill="1" applyBorder="1" applyAlignment="1">
      <alignment horizontal="right" vertical="center"/>
    </xf>
    <xf numFmtId="173" fontId="29" fillId="10" borderId="17" xfId="0" applyNumberFormat="1" applyFont="1" applyFill="1" applyBorder="1" applyAlignment="1">
      <alignment horizontal="right" vertical="center"/>
    </xf>
    <xf numFmtId="173" fontId="29" fillId="10" borderId="18" xfId="0" applyNumberFormat="1" applyFont="1" applyFill="1" applyBorder="1" applyAlignment="1">
      <alignment horizontal="right" vertical="center"/>
    </xf>
    <xf numFmtId="0" fontId="35" fillId="26" borderId="33" xfId="0" applyFont="1" applyFill="1" applyBorder="1" applyAlignment="1">
      <alignment horizontal="center"/>
    </xf>
    <xf numFmtId="0" fontId="35" fillId="26" borderId="34" xfId="0" applyFont="1" applyFill="1" applyBorder="1" applyAlignment="1">
      <alignment horizontal="center"/>
    </xf>
    <xf numFmtId="0" fontId="35" fillId="26" borderId="35" xfId="0" applyFont="1" applyFill="1" applyBorder="1" applyAlignment="1">
      <alignment horizontal="center"/>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0" fontId="35" fillId="8" borderId="33" xfId="0" applyFont="1" applyFill="1" applyBorder="1" applyAlignment="1">
      <alignment horizontal="center"/>
    </xf>
    <xf numFmtId="0" fontId="35" fillId="8" borderId="34" xfId="0" applyFont="1" applyFill="1" applyBorder="1" applyAlignment="1">
      <alignment horizontal="center"/>
    </xf>
    <xf numFmtId="0" fontId="35" fillId="8" borderId="35" xfId="0" applyFont="1" applyFill="1" applyBorder="1" applyAlignment="1">
      <alignment horizontal="center"/>
    </xf>
    <xf numFmtId="0" fontId="49" fillId="0" borderId="5" xfId="0" applyFont="1" applyFill="1" applyBorder="1" applyAlignment="1">
      <alignment horizontal="center" wrapText="1"/>
    </xf>
    <xf numFmtId="0" fontId="49" fillId="0" borderId="6" xfId="0" applyFont="1" applyFill="1" applyBorder="1" applyAlignment="1">
      <alignment horizontal="center" wrapText="1"/>
    </xf>
    <xf numFmtId="0" fontId="49" fillId="0" borderId="7" xfId="0" applyFont="1" applyFill="1" applyBorder="1" applyAlignment="1">
      <alignment horizontal="center" wrapText="1"/>
    </xf>
    <xf numFmtId="0" fontId="49" fillId="0" borderId="8" xfId="0" applyFont="1" applyFill="1" applyBorder="1" applyAlignment="1">
      <alignment horizontal="center" wrapText="1"/>
    </xf>
    <xf numFmtId="0" fontId="49" fillId="0" borderId="9" xfId="0" applyFont="1" applyFill="1" applyBorder="1" applyAlignment="1">
      <alignment horizontal="center" wrapText="1"/>
    </xf>
    <xf numFmtId="0" fontId="49" fillId="0" borderId="10" xfId="0" applyFont="1" applyFill="1" applyBorder="1" applyAlignment="1">
      <alignment horizontal="center" wrapText="1"/>
    </xf>
    <xf numFmtId="0" fontId="45" fillId="0" borderId="6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5" fillId="0" borderId="43"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wrapText="1"/>
    </xf>
    <xf numFmtId="0" fontId="45" fillId="0" borderId="29" xfId="0" applyFont="1" applyFill="1" applyBorder="1" applyAlignment="1">
      <alignment horizontal="center" wrapText="1"/>
    </xf>
    <xf numFmtId="0" fontId="45" fillId="0" borderId="29"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5" fillId="0" borderId="61" xfId="0" applyFont="1" applyFill="1" applyBorder="1" applyAlignment="1">
      <alignment horizontal="center" vertical="center" wrapText="1"/>
    </xf>
    <xf numFmtId="0" fontId="45" fillId="0" borderId="68" xfId="0" applyFont="1" applyFill="1" applyBorder="1" applyAlignment="1">
      <alignment horizontal="center" vertical="center" wrapText="1"/>
    </xf>
    <xf numFmtId="0" fontId="32" fillId="0" borderId="0" xfId="0" applyFont="1" applyAlignment="1">
      <alignment horizontal="left"/>
    </xf>
    <xf numFmtId="0" fontId="49" fillId="0" borderId="37" xfId="0" applyFont="1" applyBorder="1" applyAlignment="1">
      <alignment horizontal="center"/>
    </xf>
    <xf numFmtId="0" fontId="49" fillId="0" borderId="62" xfId="0" applyFont="1" applyBorder="1" applyAlignment="1">
      <alignment horizontal="center"/>
    </xf>
    <xf numFmtId="0" fontId="49" fillId="0" borderId="36" xfId="0" applyFont="1" applyBorder="1" applyAlignment="1">
      <alignment horizontal="center"/>
    </xf>
    <xf numFmtId="0" fontId="49" fillId="0" borderId="0" xfId="0" applyFont="1" applyBorder="1" applyAlignment="1">
      <alignment horizontal="center"/>
    </xf>
    <xf numFmtId="0" fontId="49" fillId="0" borderId="38" xfId="0" applyFont="1" applyBorder="1" applyAlignment="1">
      <alignment horizontal="center"/>
    </xf>
    <xf numFmtId="0" fontId="49"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9" fontId="60" fillId="19" borderId="4"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4" xfId="1" applyFont="1" applyFill="1" applyBorder="1" applyAlignment="1">
      <alignment vertical="center"/>
    </xf>
    <xf numFmtId="9" fontId="60" fillId="19" borderId="17" xfId="1" applyFont="1" applyFill="1" applyBorder="1" applyAlignment="1">
      <alignment vertical="center"/>
    </xf>
    <xf numFmtId="9" fontId="60" fillId="19" borderId="18" xfId="1" applyFont="1" applyFill="1" applyBorder="1" applyAlignment="1">
      <alignment vertical="center"/>
    </xf>
    <xf numFmtId="49" fontId="55" fillId="26" borderId="77" xfId="0" applyNumberFormat="1" applyFont="1" applyFill="1" applyBorder="1" applyAlignment="1">
      <alignment horizontal="center" vertical="center" wrapText="1"/>
    </xf>
    <xf numFmtId="49" fontId="55" fillId="26" borderId="34" xfId="0" applyNumberFormat="1" applyFont="1" applyFill="1" applyBorder="1" applyAlignment="1">
      <alignment horizontal="center" vertical="center" wrapText="1"/>
    </xf>
    <xf numFmtId="49" fontId="55" fillId="26" borderId="65" xfId="0" applyNumberFormat="1" applyFont="1" applyFill="1" applyBorder="1" applyAlignment="1">
      <alignment horizontal="center" vertical="center" wrapText="1"/>
    </xf>
    <xf numFmtId="49" fontId="56" fillId="26" borderId="33" xfId="0" applyNumberFormat="1" applyFont="1" applyFill="1" applyBorder="1" applyAlignment="1">
      <alignment horizontal="center" vertical="center" wrapText="1"/>
    </xf>
    <xf numFmtId="49" fontId="56" fillId="26" borderId="34" xfId="0" applyNumberFormat="1" applyFont="1" applyFill="1" applyBorder="1" applyAlignment="1">
      <alignment horizontal="center" vertical="center" wrapText="1"/>
    </xf>
    <xf numFmtId="49" fontId="56" fillId="26" borderId="35" xfId="0" applyNumberFormat="1" applyFont="1" applyFill="1" applyBorder="1" applyAlignment="1">
      <alignment horizontal="center" vertical="center" wrapText="1"/>
    </xf>
    <xf numFmtId="9" fontId="60" fillId="19" borderId="12" xfId="1" applyFont="1" applyFill="1" applyBorder="1" applyAlignment="1">
      <alignment horizontal="right" vertical="center"/>
    </xf>
    <xf numFmtId="9" fontId="60" fillId="19" borderId="64" xfId="1" applyFont="1" applyFill="1" applyBorder="1" applyAlignment="1">
      <alignment horizontal="right" vertical="center"/>
    </xf>
    <xf numFmtId="9" fontId="60" fillId="19" borderId="16" xfId="1" applyFont="1" applyFill="1" applyBorder="1" applyAlignment="1">
      <alignment horizontal="right" vertical="center"/>
    </xf>
    <xf numFmtId="9" fontId="52" fillId="19" borderId="11" xfId="1" applyFont="1" applyFill="1" applyBorder="1" applyAlignment="1">
      <alignment vertical="center"/>
    </xf>
    <xf numFmtId="9" fontId="52" fillId="19" borderId="14" xfId="1" applyFont="1" applyFill="1" applyBorder="1" applyAlignment="1">
      <alignment vertical="center"/>
    </xf>
    <xf numFmtId="9" fontId="52" fillId="19" borderId="41" xfId="1" applyFont="1" applyFill="1" applyBorder="1" applyAlignment="1">
      <alignment vertical="center"/>
    </xf>
    <xf numFmtId="9" fontId="52" fillId="19" borderId="7" xfId="1" applyFont="1" applyFill="1" applyBorder="1" applyAlignment="1">
      <alignment vertical="center"/>
    </xf>
    <xf numFmtId="0" fontId="46" fillId="0" borderId="4" xfId="0" applyFont="1" applyFill="1" applyBorder="1" applyAlignment="1">
      <alignment horizontal="justify" vertical="center" wrapText="1"/>
    </xf>
    <xf numFmtId="0" fontId="46" fillId="0" borderId="18" xfId="0" applyFont="1" applyFill="1" applyBorder="1" applyAlignment="1">
      <alignment horizontal="justify" vertical="center" wrapText="1"/>
    </xf>
    <xf numFmtId="0" fontId="46" fillId="0" borderId="30" xfId="0" applyFont="1" applyFill="1" applyBorder="1" applyAlignment="1">
      <alignment horizontal="justify" vertical="center" wrapText="1"/>
    </xf>
    <xf numFmtId="0" fontId="46" fillId="0" borderId="17" xfId="0" applyFont="1" applyFill="1" applyBorder="1" applyAlignment="1">
      <alignment horizontal="justify" vertical="center" wrapText="1"/>
    </xf>
    <xf numFmtId="0" fontId="46" fillId="0" borderId="30" xfId="0" applyFont="1" applyFill="1" applyBorder="1" applyAlignment="1">
      <alignment horizontal="center" vertical="center" wrapText="1"/>
    </xf>
    <xf numFmtId="0" fontId="46" fillId="0" borderId="17" xfId="0" applyFont="1" applyFill="1" applyBorder="1" applyAlignment="1">
      <alignment horizontal="center" vertical="center" wrapText="1"/>
    </xf>
    <xf numFmtId="0" fontId="46" fillId="0" borderId="18" xfId="0" applyFont="1" applyFill="1" applyBorder="1" applyAlignment="1">
      <alignment horizontal="center" vertical="center" wrapText="1"/>
    </xf>
    <xf numFmtId="9" fontId="62" fillId="19" borderId="24" xfId="0" applyNumberFormat="1" applyFont="1" applyFill="1" applyBorder="1" applyAlignment="1">
      <alignment horizontal="center" vertical="center"/>
    </xf>
    <xf numFmtId="9" fontId="62" fillId="19" borderId="25" xfId="0" applyNumberFormat="1" applyFont="1" applyFill="1" applyBorder="1" applyAlignment="1">
      <alignment horizontal="center" vertical="center"/>
    </xf>
    <xf numFmtId="9" fontId="62" fillId="19" borderId="26" xfId="0" applyNumberFormat="1" applyFont="1" applyFill="1" applyBorder="1" applyAlignment="1">
      <alignment horizontal="center" vertical="center"/>
    </xf>
    <xf numFmtId="9" fontId="62" fillId="19" borderId="24" xfId="1" applyFont="1" applyFill="1" applyBorder="1" applyAlignment="1">
      <alignment horizontal="center" vertical="center"/>
    </xf>
    <xf numFmtId="9" fontId="62" fillId="19" borderId="25" xfId="1" applyFont="1" applyFill="1" applyBorder="1" applyAlignment="1">
      <alignment horizontal="center" vertical="center"/>
    </xf>
    <xf numFmtId="9" fontId="62" fillId="19" borderId="26" xfId="1" applyFont="1" applyFill="1" applyBorder="1" applyAlignment="1">
      <alignment horizontal="center" vertical="center"/>
    </xf>
    <xf numFmtId="9" fontId="62" fillId="19" borderId="37"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61" fillId="0" borderId="24"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44" xfId="0" applyFont="1" applyBorder="1" applyAlignment="1">
      <alignment horizontal="center" vertical="center" wrapText="1"/>
    </xf>
    <xf numFmtId="0" fontId="61" fillId="0" borderId="45" xfId="0" applyFont="1" applyBorder="1" applyAlignment="1">
      <alignment horizontal="center" vertical="center" wrapText="1"/>
    </xf>
    <xf numFmtId="0" fontId="61" fillId="0" borderId="48" xfId="0" applyFont="1" applyBorder="1" applyAlignment="1">
      <alignment horizontal="center" vertical="center" wrapText="1"/>
    </xf>
    <xf numFmtId="1" fontId="62" fillId="19" borderId="24" xfId="1" applyNumberFormat="1" applyFont="1" applyFill="1" applyBorder="1" applyAlignment="1">
      <alignment horizontal="center" vertical="center"/>
    </xf>
    <xf numFmtId="1" fontId="62" fillId="19" borderId="25" xfId="1" applyNumberFormat="1" applyFont="1" applyFill="1" applyBorder="1" applyAlignment="1">
      <alignment horizontal="center" vertical="center"/>
    </xf>
    <xf numFmtId="1" fontId="62" fillId="19" borderId="26" xfId="1" applyNumberFormat="1" applyFont="1" applyFill="1" applyBorder="1" applyAlignment="1">
      <alignment horizontal="center" vertical="center"/>
    </xf>
    <xf numFmtId="0" fontId="47" fillId="3" borderId="33" xfId="2" applyFont="1" applyFill="1" applyBorder="1" applyAlignment="1">
      <alignment horizontal="center" vertical="center"/>
    </xf>
    <xf numFmtId="0" fontId="47" fillId="3" borderId="35" xfId="2" applyFont="1" applyFill="1" applyBorder="1" applyAlignment="1">
      <alignment horizontal="center" vertical="center"/>
    </xf>
    <xf numFmtId="1" fontId="62" fillId="19" borderId="24" xfId="0" applyNumberFormat="1" applyFont="1" applyFill="1" applyBorder="1" applyAlignment="1">
      <alignment horizontal="center" vertical="center"/>
    </xf>
    <xf numFmtId="1" fontId="62" fillId="19" borderId="25" xfId="0" applyNumberFormat="1" applyFont="1" applyFill="1" applyBorder="1" applyAlignment="1">
      <alignment horizontal="center" vertical="center"/>
    </xf>
    <xf numFmtId="1" fontId="62" fillId="19" borderId="26" xfId="0" applyNumberFormat="1" applyFont="1" applyFill="1" applyBorder="1" applyAlignment="1">
      <alignment horizontal="center" vertical="center"/>
    </xf>
    <xf numFmtId="0" fontId="41" fillId="26" borderId="37" xfId="0" applyFont="1" applyFill="1" applyBorder="1" applyAlignment="1">
      <alignment horizontal="center" vertical="center" wrapText="1"/>
    </xf>
    <xf numFmtId="0" fontId="41" fillId="26" borderId="62" xfId="0" applyFont="1" applyFill="1" applyBorder="1" applyAlignment="1">
      <alignment horizontal="center" vertical="center" wrapText="1"/>
    </xf>
    <xf numFmtId="0" fontId="41" fillId="26" borderId="34" xfId="0" applyFont="1" applyFill="1" applyBorder="1" applyAlignment="1">
      <alignment horizontal="center" vertical="center" wrapText="1"/>
    </xf>
    <xf numFmtId="0" fontId="41" fillId="26" borderId="35" xfId="0" applyFont="1" applyFill="1" applyBorder="1" applyAlignment="1">
      <alignment horizontal="center" vertical="center" wrapText="1"/>
    </xf>
    <xf numFmtId="0" fontId="54" fillId="18" borderId="33" xfId="0" applyFont="1" applyFill="1" applyBorder="1" applyAlignment="1">
      <alignment horizontal="center" vertical="center" wrapText="1"/>
    </xf>
    <xf numFmtId="0" fontId="54" fillId="18" borderId="34" xfId="0" applyFont="1" applyFill="1" applyBorder="1" applyAlignment="1">
      <alignment horizontal="center" vertical="center" wrapText="1"/>
    </xf>
    <xf numFmtId="0" fontId="54" fillId="18" borderId="35" xfId="0" applyFont="1" applyFill="1" applyBorder="1" applyAlignment="1">
      <alignment horizontal="center" vertical="center" wrapText="1"/>
    </xf>
    <xf numFmtId="167" fontId="62" fillId="19" borderId="37" xfId="0" applyNumberFormat="1" applyFont="1" applyFill="1" applyBorder="1" applyAlignment="1">
      <alignment horizontal="center" vertical="center"/>
    </xf>
    <xf numFmtId="167" fontId="62" fillId="19" borderId="36" xfId="0" applyNumberFormat="1" applyFont="1" applyFill="1" applyBorder="1" applyAlignment="1">
      <alignment horizontal="center" vertical="center"/>
    </xf>
    <xf numFmtId="167" fontId="62" fillId="19" borderId="38" xfId="0" applyNumberFormat="1" applyFont="1" applyFill="1" applyBorder="1" applyAlignment="1">
      <alignment horizontal="center" vertical="center"/>
    </xf>
    <xf numFmtId="0" fontId="58" fillId="0" borderId="28" xfId="0" applyFont="1" applyBorder="1" applyAlignment="1">
      <alignment horizontal="justify" vertical="center" wrapText="1"/>
    </xf>
    <xf numFmtId="0" fontId="58" fillId="0" borderId="1" xfId="0" applyFont="1" applyBorder="1" applyAlignment="1">
      <alignment horizontal="justify" vertical="center" wrapText="1"/>
    </xf>
    <xf numFmtId="0" fontId="58" fillId="0" borderId="4" xfId="0" applyFont="1" applyBorder="1" applyAlignment="1">
      <alignment horizontal="justify" vertical="center" wrapText="1"/>
    </xf>
    <xf numFmtId="0" fontId="57" fillId="27" borderId="39" xfId="0" applyFont="1" applyFill="1" applyBorder="1" applyAlignment="1">
      <alignment horizontal="center" vertical="center" wrapText="1"/>
    </xf>
    <xf numFmtId="0" fontId="57" fillId="27" borderId="46" xfId="0" applyFont="1" applyFill="1" applyBorder="1" applyAlignment="1">
      <alignment horizontal="center" vertical="center" wrapText="1"/>
    </xf>
    <xf numFmtId="0" fontId="57" fillId="27" borderId="40" xfId="0" applyFont="1" applyFill="1" applyBorder="1" applyAlignment="1">
      <alignment horizontal="center" vertical="center" wrapText="1"/>
    </xf>
    <xf numFmtId="0" fontId="46" fillId="0" borderId="28" xfId="0" applyFont="1" applyBorder="1" applyAlignment="1">
      <alignment horizontal="justify" vertical="center" wrapText="1"/>
    </xf>
    <xf numFmtId="0" fontId="46" fillId="0" borderId="1" xfId="0" applyFont="1" applyBorder="1" applyAlignment="1">
      <alignment horizontal="justify" vertical="center" wrapText="1"/>
    </xf>
    <xf numFmtId="0" fontId="58" fillId="0" borderId="18" xfId="0" applyFont="1" applyBorder="1" applyAlignment="1">
      <alignment horizontal="justify" vertical="center" wrapText="1"/>
    </xf>
    <xf numFmtId="0" fontId="66" fillId="27" borderId="39" xfId="0" applyFont="1" applyFill="1" applyBorder="1" applyAlignment="1">
      <alignment horizontal="center" vertical="center"/>
    </xf>
    <xf numFmtId="0" fontId="66" fillId="27" borderId="46" xfId="0" applyFont="1" applyFill="1" applyBorder="1" applyAlignment="1">
      <alignment horizontal="center" vertical="center"/>
    </xf>
    <xf numFmtId="0" fontId="66" fillId="27" borderId="40" xfId="0" applyFont="1" applyFill="1" applyBorder="1" applyAlignment="1">
      <alignment horizontal="center" vertical="center"/>
    </xf>
    <xf numFmtId="0" fontId="57" fillId="0" borderId="41"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51" xfId="0" applyFont="1" applyBorder="1" applyAlignment="1">
      <alignment horizontal="center" vertical="center" wrapText="1"/>
    </xf>
    <xf numFmtId="0" fontId="57" fillId="27" borderId="13" xfId="0" applyFont="1" applyFill="1" applyBorder="1" applyAlignment="1">
      <alignment horizontal="center" vertical="center" wrapText="1"/>
    </xf>
    <xf numFmtId="0" fontId="57" fillId="27" borderId="30" xfId="0" applyFont="1" applyFill="1" applyBorder="1" applyAlignment="1">
      <alignment horizontal="center" vertical="center" wrapText="1"/>
    </xf>
    <xf numFmtId="0" fontId="57" fillId="27" borderId="32" xfId="0" applyFont="1" applyFill="1" applyBorder="1" applyAlignment="1">
      <alignment horizontal="center" vertical="center" wrapText="1"/>
    </xf>
    <xf numFmtId="0" fontId="57" fillId="0" borderId="50" xfId="0" applyFont="1" applyBorder="1" applyAlignment="1">
      <alignment horizontal="center" vertical="center" wrapText="1"/>
    </xf>
    <xf numFmtId="0" fontId="46" fillId="0" borderId="1" xfId="0" applyFont="1" applyFill="1" applyBorder="1" applyAlignment="1">
      <alignment horizontal="justify" vertical="center" wrapText="1"/>
    </xf>
    <xf numFmtId="0" fontId="58" fillId="0" borderId="32" xfId="0" applyFont="1" applyFill="1" applyBorder="1" applyAlignment="1">
      <alignment horizontal="justify" vertical="center" wrapText="1"/>
    </xf>
    <xf numFmtId="0" fontId="58" fillId="0" borderId="64" xfId="0" applyFont="1" applyFill="1" applyBorder="1" applyAlignment="1">
      <alignment horizontal="justify" vertical="center" wrapText="1"/>
    </xf>
    <xf numFmtId="0" fontId="58" fillId="0" borderId="16" xfId="0" applyFont="1" applyFill="1" applyBorder="1" applyAlignment="1">
      <alignment horizontal="justify" vertical="center" wrapText="1"/>
    </xf>
    <xf numFmtId="0" fontId="59" fillId="0" borderId="2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8" fillId="0" borderId="17" xfId="0" applyFont="1" applyFill="1" applyBorder="1" applyAlignment="1">
      <alignment horizontal="justify" vertical="center" wrapText="1"/>
    </xf>
    <xf numFmtId="0" fontId="46" fillId="0" borderId="4" xfId="0" applyFont="1" applyFill="1" applyBorder="1" applyAlignment="1">
      <alignment horizontal="center" vertical="center" wrapText="1"/>
    </xf>
    <xf numFmtId="0" fontId="46" fillId="0" borderId="47" xfId="0" applyFont="1" applyFill="1" applyBorder="1" applyAlignment="1">
      <alignment horizontal="center" vertical="center" wrapText="1"/>
    </xf>
    <xf numFmtId="0" fontId="46" fillId="0" borderId="4" xfId="0" applyFont="1" applyBorder="1" applyAlignment="1">
      <alignment horizontal="justify" vertical="center" wrapText="1"/>
    </xf>
    <xf numFmtId="0" fontId="68" fillId="27" borderId="39" xfId="0" applyFont="1" applyFill="1" applyBorder="1" applyAlignment="1">
      <alignment horizontal="center" vertical="center" wrapText="1"/>
    </xf>
    <xf numFmtId="0" fontId="68" fillId="27" borderId="46" xfId="0" applyFont="1" applyFill="1" applyBorder="1" applyAlignment="1">
      <alignment horizontal="center" vertical="center" wrapText="1"/>
    </xf>
    <xf numFmtId="0" fontId="68" fillId="27" borderId="40" xfId="0" applyFont="1" applyFill="1" applyBorder="1" applyAlignment="1">
      <alignment horizontal="center" vertical="center" wrapText="1"/>
    </xf>
    <xf numFmtId="0" fontId="58" fillId="0" borderId="18" xfId="0" applyFont="1" applyFill="1" applyBorder="1" applyAlignment="1">
      <alignment horizontal="justify" vertical="center" wrapText="1"/>
    </xf>
    <xf numFmtId="0" fontId="58" fillId="0" borderId="1" xfId="0" applyFont="1" applyFill="1" applyBorder="1" applyAlignment="1">
      <alignment horizontal="justify" vertical="center" wrapText="1"/>
    </xf>
    <xf numFmtId="0" fontId="58" fillId="0" borderId="4" xfId="0" applyFont="1" applyFill="1" applyBorder="1" applyAlignment="1">
      <alignment horizontal="justify" vertical="center" wrapText="1"/>
    </xf>
    <xf numFmtId="0" fontId="58" fillId="0" borderId="17" xfId="0" applyFont="1" applyBorder="1" applyAlignment="1">
      <alignment horizontal="justify" vertical="center" wrapText="1"/>
    </xf>
    <xf numFmtId="0" fontId="46" fillId="0" borderId="18" xfId="0" applyFont="1" applyBorder="1" applyAlignment="1">
      <alignment horizontal="justify" vertical="center" wrapText="1"/>
    </xf>
    <xf numFmtId="0" fontId="57" fillId="0" borderId="5" xfId="0" applyFont="1" applyBorder="1" applyAlignment="1">
      <alignment horizontal="center" vertical="center"/>
    </xf>
    <xf numFmtId="0" fontId="57" fillId="0" borderId="7" xfId="0" applyFont="1" applyBorder="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57" fillId="27" borderId="33" xfId="0" applyFont="1" applyFill="1" applyBorder="1" applyAlignment="1">
      <alignment horizontal="center" vertical="center" wrapText="1"/>
    </xf>
    <xf numFmtId="0" fontId="57" fillId="27" borderId="34" xfId="0" applyFont="1" applyFill="1" applyBorder="1" applyAlignment="1">
      <alignment horizontal="center" vertical="center" wrapText="1"/>
    </xf>
    <xf numFmtId="0" fontId="57" fillId="27" borderId="48" xfId="0" applyFont="1" applyFill="1" applyBorder="1" applyAlignment="1">
      <alignment horizontal="center" vertical="center" wrapText="1"/>
    </xf>
    <xf numFmtId="0" fontId="58" fillId="0" borderId="12" xfId="0" applyFont="1" applyFill="1" applyBorder="1" applyAlignment="1">
      <alignment horizontal="justify" vertical="center" wrapText="1"/>
    </xf>
    <xf numFmtId="0" fontId="58" fillId="0" borderId="12" xfId="0" applyFont="1" applyFill="1" applyBorder="1" applyAlignment="1">
      <alignment horizontal="left" vertical="center" wrapText="1"/>
    </xf>
    <xf numFmtId="0" fontId="58" fillId="0" borderId="64" xfId="0" applyFont="1" applyFill="1" applyBorder="1" applyAlignment="1">
      <alignment horizontal="left" vertical="center" wrapText="1"/>
    </xf>
    <xf numFmtId="0" fontId="58" fillId="0" borderId="16"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63" fillId="0" borderId="63" xfId="0" applyFont="1" applyFill="1" applyBorder="1" applyAlignment="1">
      <alignment horizontal="left" vertical="center" wrapText="1"/>
    </xf>
    <xf numFmtId="0" fontId="63" fillId="0" borderId="64" xfId="0" applyFont="1" applyFill="1" applyBorder="1" applyAlignment="1">
      <alignment horizontal="left" vertical="center" wrapText="1"/>
    </xf>
    <xf numFmtId="0" fontId="63" fillId="0" borderId="32" xfId="0" applyFont="1" applyBorder="1" applyAlignment="1">
      <alignment horizontal="left" vertical="center" wrapText="1"/>
    </xf>
    <xf numFmtId="0" fontId="63" fillId="0" borderId="64" xfId="0" applyFont="1" applyBorder="1" applyAlignment="1">
      <alignment horizontal="left" vertical="center" wrapText="1"/>
    </xf>
    <xf numFmtId="49" fontId="56" fillId="26" borderId="31" xfId="0" applyNumberFormat="1" applyFont="1" applyFill="1" applyBorder="1" applyAlignment="1">
      <alignment horizontal="center" vertical="center" wrapText="1"/>
    </xf>
    <xf numFmtId="49" fontId="56" fillId="26" borderId="62"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4" fillId="0" borderId="29" xfId="0" applyFont="1" applyBorder="1" applyAlignment="1">
      <alignment horizontal="center"/>
    </xf>
    <xf numFmtId="0" fontId="7" fillId="0" borderId="73" xfId="0" applyFont="1" applyFill="1" applyBorder="1" applyAlignment="1">
      <alignment horizontal="center" vertical="center" wrapText="1"/>
    </xf>
    <xf numFmtId="0" fontId="58" fillId="0" borderId="12" xfId="0" applyFont="1" applyBorder="1" applyAlignment="1">
      <alignment horizontal="left" vertical="center" wrapText="1"/>
    </xf>
    <xf numFmtId="0" fontId="58" fillId="0" borderId="63"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64" xfId="0" applyFont="1" applyBorder="1" applyAlignment="1">
      <alignment horizontal="center" vertical="center" wrapText="1"/>
    </xf>
    <xf numFmtId="0" fontId="63" fillId="0" borderId="16" xfId="0" applyFont="1" applyBorder="1" applyAlignment="1">
      <alignment horizontal="center" vertical="center" wrapText="1"/>
    </xf>
    <xf numFmtId="9" fontId="41" fillId="26" borderId="38" xfId="1" applyFont="1" applyFill="1" applyBorder="1" applyAlignment="1">
      <alignment horizontal="center" vertical="center" wrapText="1"/>
    </xf>
    <xf numFmtId="9" fontId="41" fillId="26" borderId="66" xfId="1" applyFont="1" applyFill="1" applyBorder="1" applyAlignment="1">
      <alignment horizontal="center" vertical="center" wrapText="1"/>
    </xf>
    <xf numFmtId="9" fontId="41" fillId="26" borderId="75" xfId="1" applyFont="1" applyFill="1" applyBorder="1" applyAlignment="1">
      <alignment horizontal="center" vertical="center" wrapText="1"/>
    </xf>
    <xf numFmtId="9" fontId="41" fillId="26" borderId="23" xfId="1" applyFont="1" applyFill="1" applyBorder="1" applyAlignment="1">
      <alignment horizontal="center" vertical="center" wrapText="1"/>
    </xf>
    <xf numFmtId="9" fontId="41" fillId="26" borderId="0" xfId="1"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5" fillId="0" borderId="61" xfId="0" applyFont="1" applyBorder="1" applyAlignment="1">
      <alignment horizontal="center"/>
    </xf>
    <xf numFmtId="0" fontId="75" fillId="0" borderId="73" xfId="0" applyFont="1" applyBorder="1" applyAlignment="1">
      <alignment horizontal="center"/>
    </xf>
    <xf numFmtId="0" fontId="75" fillId="0" borderId="68" xfId="0" applyFont="1" applyBorder="1" applyAlignment="1">
      <alignment horizontal="center"/>
    </xf>
    <xf numFmtId="0" fontId="49" fillId="0" borderId="56" xfId="0" applyFont="1" applyFill="1" applyBorder="1" applyAlignment="1">
      <alignment horizontal="center" wrapText="1"/>
    </xf>
    <xf numFmtId="0" fontId="49" fillId="0" borderId="52" xfId="0" applyFont="1" applyFill="1" applyBorder="1" applyAlignment="1">
      <alignment horizontal="center" wrapText="1"/>
    </xf>
    <xf numFmtId="0" fontId="49" fillId="0" borderId="53" xfId="0" applyFont="1" applyFill="1" applyBorder="1" applyAlignment="1">
      <alignment horizontal="center" wrapText="1"/>
    </xf>
    <xf numFmtId="9" fontId="41" fillId="26" borderId="33" xfId="1" applyFont="1" applyFill="1" applyBorder="1" applyAlignment="1">
      <alignment horizontal="center" vertical="center" wrapText="1"/>
    </xf>
    <xf numFmtId="9" fontId="41" fillId="26" borderId="34" xfId="1" applyFont="1" applyFill="1" applyBorder="1" applyAlignment="1">
      <alignment horizontal="center" vertical="center" wrapText="1"/>
    </xf>
    <xf numFmtId="9" fontId="41" fillId="26" borderId="35" xfId="1" applyFont="1" applyFill="1" applyBorder="1" applyAlignment="1">
      <alignment horizontal="center" vertical="center" wrapText="1"/>
    </xf>
    <xf numFmtId="9" fontId="41" fillId="26" borderId="36" xfId="1" applyFont="1" applyFill="1" applyBorder="1" applyAlignment="1">
      <alignment horizontal="center" vertical="center" wrapText="1"/>
    </xf>
    <xf numFmtId="0" fontId="49" fillId="0" borderId="24" xfId="0" applyFont="1" applyFill="1" applyBorder="1" applyAlignment="1">
      <alignment horizontal="center" wrapText="1"/>
    </xf>
    <xf numFmtId="0" fontId="49" fillId="0" borderId="25" xfId="0" applyFont="1" applyFill="1" applyBorder="1" applyAlignment="1">
      <alignment horizontal="center" wrapText="1"/>
    </xf>
    <xf numFmtId="0" fontId="49" fillId="0" borderId="26" xfId="0" applyFont="1" applyFill="1" applyBorder="1" applyAlignment="1">
      <alignment horizontal="center" wrapText="1"/>
    </xf>
    <xf numFmtId="9" fontId="41" fillId="26" borderId="62" xfId="1" applyFont="1" applyFill="1" applyBorder="1" applyAlignment="1">
      <alignment horizontal="center" vertical="center" wrapText="1"/>
    </xf>
    <xf numFmtId="9" fontId="41" fillId="26" borderId="44" xfId="1" applyFont="1" applyFill="1" applyBorder="1" applyAlignment="1">
      <alignment horizontal="center" vertical="center" wrapText="1"/>
    </xf>
    <xf numFmtId="0" fontId="7" fillId="0" borderId="28" xfId="0" applyFont="1" applyBorder="1" applyAlignment="1">
      <alignment horizontal="center" vertical="center" wrapText="1"/>
    </xf>
    <xf numFmtId="0" fontId="76" fillId="0" borderId="28" xfId="0" applyFont="1" applyBorder="1" applyAlignment="1">
      <alignment horizontal="center" wrapText="1"/>
    </xf>
    <xf numFmtId="0" fontId="76" fillId="0" borderId="6" xfId="0" applyFont="1" applyBorder="1" applyAlignment="1">
      <alignment horizontal="center" wrapText="1"/>
    </xf>
    <xf numFmtId="0" fontId="76" fillId="0" borderId="1" xfId="0" applyFont="1" applyBorder="1" applyAlignment="1">
      <alignment horizontal="center" wrapText="1"/>
    </xf>
    <xf numFmtId="0" fontId="76" fillId="0" borderId="8" xfId="0" applyFont="1" applyBorder="1" applyAlignment="1">
      <alignment horizontal="center" wrapText="1"/>
    </xf>
    <xf numFmtId="0" fontId="76" fillId="0" borderId="29" xfId="0" applyFont="1" applyBorder="1" applyAlignment="1">
      <alignment horizontal="center" wrapText="1"/>
    </xf>
    <xf numFmtId="0" fontId="76" fillId="0" borderId="10" xfId="0" applyFont="1" applyBorder="1" applyAlignment="1">
      <alignment horizontal="center" wrapText="1"/>
    </xf>
    <xf numFmtId="0" fontId="77" fillId="0" borderId="1" xfId="0" applyFont="1" applyBorder="1" applyAlignment="1">
      <alignment horizontal="center" vertical="center" wrapText="1"/>
    </xf>
    <xf numFmtId="0" fontId="29" fillId="0" borderId="7" xfId="0" applyFont="1" applyBorder="1" applyAlignment="1">
      <alignment horizontal="left"/>
    </xf>
    <xf numFmtId="0" fontId="29" fillId="0" borderId="1" xfId="0" applyFont="1" applyBorder="1" applyAlignment="1">
      <alignment horizontal="left"/>
    </xf>
    <xf numFmtId="0" fontId="29" fillId="0" borderId="9" xfId="0" applyFont="1" applyBorder="1" applyAlignment="1">
      <alignment horizontal="left"/>
    </xf>
    <xf numFmtId="0" fontId="29" fillId="0" borderId="29" xfId="0" applyFont="1" applyBorder="1" applyAlignment="1">
      <alignment horizontal="left"/>
    </xf>
    <xf numFmtId="0" fontId="33" fillId="27" borderId="33" xfId="0" applyFont="1" applyFill="1" applyBorder="1" applyAlignment="1">
      <alignment horizontal="center"/>
    </xf>
    <xf numFmtId="0" fontId="33" fillId="27" borderId="34" xfId="0" applyFont="1" applyFill="1" applyBorder="1" applyAlignment="1">
      <alignment horizontal="center"/>
    </xf>
    <xf numFmtId="0" fontId="33" fillId="27" borderId="65" xfId="0" applyFont="1" applyFill="1" applyBorder="1" applyAlignment="1">
      <alignment horizontal="center"/>
    </xf>
    <xf numFmtId="0" fontId="29" fillId="0" borderId="41" xfId="0" applyFont="1" applyBorder="1" applyAlignment="1">
      <alignment horizontal="left"/>
    </xf>
    <xf numFmtId="0" fontId="29" fillId="0" borderId="18" xfId="0" applyFont="1" applyBorder="1" applyAlignment="1">
      <alignment horizontal="left"/>
    </xf>
    <xf numFmtId="9" fontId="41" fillId="26" borderId="19" xfId="1" applyFont="1" applyFill="1" applyBorder="1" applyAlignment="1">
      <alignment horizontal="center" vertical="center" wrapText="1"/>
    </xf>
    <xf numFmtId="0" fontId="7" fillId="0" borderId="74"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65" fillId="0" borderId="0" xfId="0" applyFont="1" applyAlignment="1">
      <alignment horizontal="center"/>
    </xf>
    <xf numFmtId="0" fontId="74" fillId="0" borderId="29" xfId="0" applyFont="1" applyBorder="1" applyAlignment="1">
      <alignment horizontal="center" vertical="center"/>
    </xf>
    <xf numFmtId="0" fontId="0" fillId="0" borderId="21" xfId="0" applyBorder="1" applyAlignment="1">
      <alignment horizontal="center" vertical="center"/>
    </xf>
    <xf numFmtId="0" fontId="0" fillId="0" borderId="0" xfId="0" applyBorder="1" applyAlignment="1">
      <alignment horizontal="center" vertical="center"/>
    </xf>
    <xf numFmtId="0" fontId="7" fillId="0" borderId="0" xfId="0" applyFont="1" applyAlignment="1">
      <alignment horizontal="center"/>
    </xf>
    <xf numFmtId="0" fontId="49" fillId="0" borderId="4" xfId="0" applyFont="1" applyBorder="1" applyAlignment="1">
      <alignment horizontal="center" vertical="center"/>
    </xf>
    <xf numFmtId="0" fontId="49" fillId="0" borderId="17" xfId="0" applyFont="1" applyBorder="1" applyAlignment="1">
      <alignment horizontal="center" vertical="center"/>
    </xf>
    <xf numFmtId="0" fontId="49" fillId="0" borderId="18" xfId="0" applyFont="1" applyBorder="1" applyAlignment="1">
      <alignment horizontal="center" vertical="center"/>
    </xf>
    <xf numFmtId="14" fontId="49" fillId="0" borderId="4" xfId="0" applyNumberFormat="1" applyFont="1" applyBorder="1" applyAlignment="1">
      <alignment horizontal="center" vertical="center"/>
    </xf>
    <xf numFmtId="0" fontId="49" fillId="0" borderId="4" xfId="0" applyFont="1" applyBorder="1" applyAlignment="1">
      <alignment horizontal="justify" vertical="center" wrapText="1"/>
    </xf>
    <xf numFmtId="0" fontId="49" fillId="0" borderId="17" xfId="0" applyFont="1" applyBorder="1" applyAlignment="1">
      <alignment horizontal="justify" vertical="center" wrapText="1"/>
    </xf>
    <xf numFmtId="0" fontId="49" fillId="0" borderId="18" xfId="0" applyFont="1" applyBorder="1" applyAlignment="1">
      <alignment horizontal="justify" vertical="center" wrapText="1"/>
    </xf>
    <xf numFmtId="0" fontId="49" fillId="0" borderId="4" xfId="0" applyFont="1" applyBorder="1" applyAlignment="1">
      <alignment horizontal="justify" vertical="center"/>
    </xf>
    <xf numFmtId="0" fontId="49" fillId="0" borderId="17" xfId="0" applyFont="1" applyBorder="1" applyAlignment="1">
      <alignment horizontal="justify" vertical="center"/>
    </xf>
    <xf numFmtId="0" fontId="49" fillId="0" borderId="18" xfId="0" applyFont="1" applyBorder="1" applyAlignment="1">
      <alignment horizontal="justify" vertical="center"/>
    </xf>
    <xf numFmtId="0" fontId="0" fillId="0" borderId="9" xfId="0" applyBorder="1" applyAlignment="1">
      <alignment horizontal="left"/>
    </xf>
    <xf numFmtId="0" fontId="0" fillId="0" borderId="29" xfId="0" applyBorder="1" applyAlignment="1">
      <alignment horizontal="left"/>
    </xf>
    <xf numFmtId="0" fontId="38" fillId="16" borderId="1" xfId="0" applyFont="1" applyFill="1" applyBorder="1" applyAlignment="1">
      <alignment horizontal="center" vertical="center" wrapText="1" readingOrder="1"/>
    </xf>
    <xf numFmtId="0" fontId="37" fillId="0" borderId="1" xfId="0" applyFont="1" applyBorder="1" applyAlignment="1">
      <alignment vertical="center"/>
    </xf>
    <xf numFmtId="0" fontId="33" fillId="27" borderId="39" xfId="0" applyFont="1" applyFill="1" applyBorder="1" applyAlignment="1">
      <alignment horizontal="center"/>
    </xf>
    <xf numFmtId="0" fontId="33" fillId="27" borderId="46" xfId="0" applyFont="1" applyFill="1" applyBorder="1" applyAlignment="1">
      <alignment horizontal="center"/>
    </xf>
    <xf numFmtId="0" fontId="38" fillId="9" borderId="59" xfId="0" applyFont="1" applyFill="1" applyBorder="1" applyAlignment="1">
      <alignment horizontal="center" vertical="center" wrapText="1" readingOrder="1"/>
    </xf>
    <xf numFmtId="0" fontId="38" fillId="9" borderId="43" xfId="0" applyFont="1" applyFill="1" applyBorder="1" applyAlignment="1">
      <alignment horizontal="center" vertical="center" wrapText="1" readingOrder="1"/>
    </xf>
    <xf numFmtId="0" fontId="37" fillId="0" borderId="59"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9" fontId="38" fillId="10" borderId="59" xfId="0" applyNumberFormat="1" applyFont="1" applyFill="1" applyBorder="1" applyAlignment="1">
      <alignment horizontal="center" vertical="center" wrapText="1" readingOrder="1"/>
    </xf>
    <xf numFmtId="9" fontId="38" fillId="10" borderId="43" xfId="0" applyNumberFormat="1" applyFont="1" applyFill="1" applyBorder="1" applyAlignment="1">
      <alignment horizontal="center" vertical="center" wrapText="1" readingOrder="1"/>
    </xf>
    <xf numFmtId="9" fontId="29"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6" fillId="0" borderId="59" xfId="0" applyFont="1" applyBorder="1" applyAlignment="1">
      <alignment horizontal="center" vertical="center"/>
    </xf>
    <xf numFmtId="0" fontId="36" fillId="0" borderId="43" xfId="0" applyFont="1" applyBorder="1" applyAlignment="1">
      <alignment horizontal="center" vertical="center"/>
    </xf>
    <xf numFmtId="0" fontId="38" fillId="17" borderId="59" xfId="0" applyFont="1" applyFill="1" applyBorder="1" applyAlignment="1">
      <alignment horizontal="center" vertical="center" wrapText="1" readingOrder="1"/>
    </xf>
    <xf numFmtId="0" fontId="38" fillId="17" borderId="43" xfId="0" applyFont="1" applyFill="1" applyBorder="1" applyAlignment="1">
      <alignment horizontal="center" vertical="center" wrapText="1" readingOrder="1"/>
    </xf>
    <xf numFmtId="42" fontId="29" fillId="0" borderId="4" xfId="1" applyNumberFormat="1" applyFont="1" applyFill="1" applyBorder="1" applyAlignment="1">
      <alignment horizontal="center" vertical="center"/>
    </xf>
    <xf numFmtId="42" fontId="29" fillId="0" borderId="18" xfId="1"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 xfId="0" applyFont="1" applyFill="1" applyBorder="1" applyAlignment="1">
      <alignment horizontal="justify" vertical="center" wrapText="1"/>
    </xf>
    <xf numFmtId="0" fontId="29" fillId="0" borderId="18" xfId="0" applyFont="1" applyFill="1" applyBorder="1" applyAlignment="1">
      <alignment horizontal="justify" vertical="center" wrapText="1"/>
    </xf>
    <xf numFmtId="42" fontId="29" fillId="0" borderId="4" xfId="5" applyFont="1" applyFill="1" applyBorder="1" applyAlignment="1">
      <alignment horizontal="center" vertical="center"/>
    </xf>
    <xf numFmtId="42" fontId="29" fillId="0" borderId="18" xfId="5" applyFont="1" applyFill="1" applyBorder="1" applyAlignment="1">
      <alignment horizontal="center" vertical="center"/>
    </xf>
    <xf numFmtId="0" fontId="29" fillId="0" borderId="4" xfId="0" applyFont="1" applyFill="1" applyBorder="1" applyAlignment="1">
      <alignment horizontal="center"/>
    </xf>
    <xf numFmtId="0" fontId="29" fillId="0" borderId="18" xfId="0" applyFont="1" applyFill="1" applyBorder="1" applyAlignment="1">
      <alignment horizontal="center"/>
    </xf>
    <xf numFmtId="0" fontId="29" fillId="0" borderId="4" xfId="0" applyFont="1" applyFill="1" applyBorder="1" applyAlignment="1">
      <alignment horizontal="justify" vertical="center"/>
    </xf>
    <xf numFmtId="0" fontId="29" fillId="0" borderId="18" xfId="0" applyFont="1" applyFill="1" applyBorder="1" applyAlignment="1">
      <alignment horizontal="justify" vertical="center"/>
    </xf>
    <xf numFmtId="0" fontId="29" fillId="0" borderId="4"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29" fillId="0" borderId="4" xfId="1" applyFont="1" applyFill="1" applyBorder="1" applyAlignment="1">
      <alignment horizontal="center" vertical="center" wrapText="1"/>
    </xf>
    <xf numFmtId="9" fontId="29" fillId="0" borderId="18" xfId="1" applyFont="1" applyFill="1" applyBorder="1" applyAlignment="1">
      <alignment horizontal="center" vertical="center" wrapText="1"/>
    </xf>
    <xf numFmtId="9" fontId="29" fillId="0" borderId="4" xfId="0" applyNumberFormat="1" applyFont="1" applyFill="1" applyBorder="1" applyAlignment="1">
      <alignment horizontal="center" vertical="center"/>
    </xf>
    <xf numFmtId="9" fontId="29" fillId="0" borderId="18" xfId="0" applyNumberFormat="1" applyFont="1" applyFill="1" applyBorder="1" applyAlignment="1">
      <alignment horizontal="center" vertical="center"/>
    </xf>
    <xf numFmtId="9" fontId="29" fillId="0" borderId="4" xfId="1" applyNumberFormat="1" applyFont="1" applyFill="1" applyBorder="1" applyAlignment="1">
      <alignment horizontal="center" vertical="center"/>
    </xf>
    <xf numFmtId="9" fontId="29" fillId="0" borderId="18" xfId="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18" xfId="0" applyFont="1" applyFill="1" applyBorder="1" applyAlignment="1">
      <alignment horizontal="center" vertical="center" wrapText="1"/>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7" xfId="1" applyNumberFormat="1" applyFont="1" applyFill="1" applyBorder="1" applyAlignment="1">
      <alignment horizontal="center" vertical="center"/>
    </xf>
    <xf numFmtId="0" fontId="29" fillId="0" borderId="17" xfId="0" applyFont="1" applyFill="1" applyBorder="1" applyAlignment="1">
      <alignment horizontal="center" vertical="center" wrapText="1"/>
    </xf>
    <xf numFmtId="42" fontId="29" fillId="0" borderId="17" xfId="5" applyFont="1" applyFill="1" applyBorder="1" applyAlignment="1">
      <alignment horizontal="center" vertical="center"/>
    </xf>
    <xf numFmtId="0" fontId="29" fillId="0" borderId="17" xfId="0" applyFont="1" applyFill="1" applyBorder="1" applyAlignment="1">
      <alignment horizontal="center"/>
    </xf>
    <xf numFmtId="0" fontId="29" fillId="0" borderId="17" xfId="0" applyFont="1" applyFill="1" applyBorder="1" applyAlignment="1">
      <alignment horizontal="center" vertical="center"/>
    </xf>
    <xf numFmtId="9" fontId="29" fillId="0" borderId="4" xfId="1" applyFont="1" applyFill="1" applyBorder="1" applyAlignment="1">
      <alignment horizontal="center" vertical="center"/>
    </xf>
    <xf numFmtId="9" fontId="29" fillId="0" borderId="17" xfId="1" applyFont="1" applyFill="1" applyBorder="1" applyAlignment="1">
      <alignment horizontal="center" vertical="center"/>
    </xf>
    <xf numFmtId="9" fontId="29" fillId="0" borderId="18" xfId="1" applyFont="1" applyFill="1" applyBorder="1" applyAlignment="1">
      <alignment horizontal="center" vertical="center"/>
    </xf>
    <xf numFmtId="9" fontId="29" fillId="22" borderId="4" xfId="1" applyNumberFormat="1" applyFont="1" applyFill="1" applyBorder="1" applyAlignment="1">
      <alignment horizontal="center" vertical="center" wrapText="1"/>
    </xf>
    <xf numFmtId="9" fontId="29" fillId="22" borderId="17" xfId="1" applyNumberFormat="1" applyFont="1" applyFill="1" applyBorder="1" applyAlignment="1">
      <alignment horizontal="center" vertical="center" wrapText="1"/>
    </xf>
    <xf numFmtId="9" fontId="29" fillId="22" borderId="18" xfId="1" applyNumberFormat="1" applyFont="1" applyFill="1" applyBorder="1" applyAlignment="1">
      <alignment horizontal="center" vertical="center" wrapText="1"/>
    </xf>
    <xf numFmtId="0" fontId="35" fillId="4" borderId="33" xfId="0" applyFont="1" applyFill="1" applyBorder="1" applyAlignment="1">
      <alignment horizontal="center"/>
    </xf>
    <xf numFmtId="0" fontId="35" fillId="4" borderId="34" xfId="0" applyFont="1" applyFill="1" applyBorder="1" applyAlignment="1">
      <alignment horizontal="center"/>
    </xf>
    <xf numFmtId="0" fontId="35" fillId="4" borderId="35" xfId="0" applyFont="1" applyFill="1" applyBorder="1" applyAlignment="1">
      <alignment horizontal="center"/>
    </xf>
    <xf numFmtId="0" fontId="35" fillId="2" borderId="33" xfId="0" applyFont="1" applyFill="1" applyBorder="1" applyAlignment="1">
      <alignment horizontal="center"/>
    </xf>
    <xf numFmtId="0" fontId="35" fillId="2" borderId="34" xfId="0" applyFont="1" applyFill="1" applyBorder="1" applyAlignment="1">
      <alignment horizontal="center"/>
    </xf>
    <xf numFmtId="0" fontId="35" fillId="2" borderId="35" xfId="0" applyFont="1" applyFill="1" applyBorder="1" applyAlignment="1">
      <alignment horizontal="center"/>
    </xf>
    <xf numFmtId="9" fontId="29" fillId="0" borderId="17" xfId="1" applyFont="1" applyFill="1" applyBorder="1" applyAlignment="1">
      <alignment horizontal="center" vertical="center" wrapText="1"/>
    </xf>
    <xf numFmtId="42" fontId="29" fillId="0" borderId="17" xfId="1"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9" fontId="81" fillId="0" borderId="4" xfId="0" applyNumberFormat="1" applyFont="1" applyFill="1" applyBorder="1" applyAlignment="1">
      <alignment horizontal="center" vertical="center" wrapText="1"/>
    </xf>
    <xf numFmtId="9" fontId="49" fillId="0" borderId="1" xfId="0" applyNumberFormat="1" applyFont="1" applyBorder="1" applyAlignment="1">
      <alignment horizontal="justify" vertical="center"/>
    </xf>
    <xf numFmtId="9" fontId="81" fillId="0" borderId="4" xfId="0" applyNumberFormat="1" applyFont="1" applyFill="1" applyBorder="1" applyAlignment="1">
      <alignment horizontal="justify" vertical="center" wrapText="1"/>
    </xf>
    <xf numFmtId="9" fontId="81" fillId="0" borderId="4" xfId="0" applyNumberFormat="1" applyFont="1" applyFill="1" applyBorder="1" applyAlignment="1">
      <alignment horizontal="justify" vertical="center"/>
    </xf>
    <xf numFmtId="9" fontId="81" fillId="0" borderId="4" xfId="0" applyNumberFormat="1" applyFont="1" applyFill="1" applyBorder="1" applyAlignment="1">
      <alignment horizontal="justify" vertical="center"/>
    </xf>
    <xf numFmtId="9" fontId="81" fillId="0" borderId="18" xfId="0" applyNumberFormat="1" applyFont="1" applyFill="1" applyBorder="1" applyAlignment="1">
      <alignment horizontal="justify" vertical="center"/>
    </xf>
    <xf numFmtId="49" fontId="55" fillId="26" borderId="33" xfId="0" applyNumberFormat="1" applyFont="1" applyFill="1" applyBorder="1" applyAlignment="1">
      <alignment horizontal="center" vertical="center" wrapText="1"/>
    </xf>
    <xf numFmtId="49" fontId="55" fillId="26" borderId="33" xfId="0" applyNumberFormat="1" applyFont="1" applyFill="1" applyBorder="1" applyAlignment="1">
      <alignment horizontal="center" vertical="center" wrapText="1"/>
    </xf>
    <xf numFmtId="49" fontId="55" fillId="26" borderId="35" xfId="0" applyNumberFormat="1" applyFont="1" applyFill="1" applyBorder="1" applyAlignment="1">
      <alignment horizontal="center" vertical="center" wrapText="1"/>
    </xf>
    <xf numFmtId="9" fontId="39" fillId="19" borderId="46" xfId="1" applyNumberFormat="1" applyFont="1" applyFill="1" applyBorder="1" applyAlignment="1">
      <alignment horizontal="right" vertical="center"/>
    </xf>
    <xf numFmtId="49" fontId="55" fillId="26" borderId="13" xfId="0" applyNumberFormat="1" applyFont="1" applyFill="1" applyBorder="1" applyAlignment="1">
      <alignment horizontal="center" vertical="center" wrapText="1"/>
    </xf>
    <xf numFmtId="49" fontId="55" fillId="26" borderId="31" xfId="0" applyNumberFormat="1" applyFont="1" applyFill="1" applyBorder="1" applyAlignment="1">
      <alignment horizontal="center" vertical="center" wrapText="1"/>
    </xf>
    <xf numFmtId="49" fontId="55" fillId="26" borderId="62" xfId="0" applyNumberFormat="1" applyFont="1" applyFill="1" applyBorder="1" applyAlignment="1">
      <alignment horizontal="center" vertical="center" wrapText="1"/>
    </xf>
    <xf numFmtId="49" fontId="56" fillId="26" borderId="37" xfId="0" applyNumberFormat="1" applyFont="1" applyFill="1" applyBorder="1" applyAlignment="1">
      <alignment horizontal="center" vertical="center" wrapText="1"/>
    </xf>
    <xf numFmtId="49" fontId="56" fillId="26" borderId="44" xfId="0" applyNumberFormat="1" applyFont="1" applyFill="1" applyBorder="1" applyAlignment="1">
      <alignment horizontal="center" vertical="center" wrapText="1"/>
    </xf>
    <xf numFmtId="9" fontId="60" fillId="19" borderId="1" xfId="1" applyFont="1" applyFill="1" applyBorder="1" applyAlignment="1">
      <alignment vertical="center"/>
    </xf>
    <xf numFmtId="9" fontId="60" fillId="19" borderId="1" xfId="1" applyFont="1" applyFill="1" applyBorder="1" applyAlignment="1">
      <alignment horizontal="right" vertical="center"/>
    </xf>
    <xf numFmtId="9" fontId="60" fillId="19" borderId="6" xfId="1" applyFont="1" applyFill="1" applyBorder="1" applyAlignment="1">
      <alignment horizontal="right" vertical="center"/>
    </xf>
    <xf numFmtId="9" fontId="60" fillId="19" borderId="8" xfId="1" applyFont="1" applyFill="1" applyBorder="1" applyAlignment="1">
      <alignment horizontal="right" vertical="center"/>
    </xf>
    <xf numFmtId="9" fontId="52" fillId="19" borderId="9" xfId="1" applyFont="1" applyFill="1" applyBorder="1" applyAlignment="1">
      <alignment horizontal="right" vertical="center"/>
    </xf>
    <xf numFmtId="9" fontId="60" fillId="19" borderId="29" xfId="1" applyFont="1" applyFill="1" applyBorder="1" applyAlignment="1">
      <alignment horizontal="right" vertical="center"/>
    </xf>
    <xf numFmtId="9" fontId="60" fillId="19" borderId="10" xfId="1" applyFont="1" applyFill="1" applyBorder="1" applyAlignment="1">
      <alignment horizontal="right" vertical="center"/>
    </xf>
    <xf numFmtId="9" fontId="72" fillId="19" borderId="77" xfId="1" applyFont="1" applyFill="1" applyBorder="1" applyAlignment="1">
      <alignment horizontal="right" vertical="center"/>
    </xf>
    <xf numFmtId="9" fontId="60" fillId="19" borderId="46" xfId="1" applyFont="1" applyFill="1" applyBorder="1" applyAlignment="1">
      <alignment horizontal="right" vertical="center"/>
    </xf>
    <xf numFmtId="9" fontId="60" fillId="19" borderId="40" xfId="1" applyFont="1" applyFill="1" applyBorder="1" applyAlignment="1">
      <alignment horizontal="right" vertical="center"/>
    </xf>
    <xf numFmtId="9" fontId="85" fillId="19" borderId="5" xfId="1" applyNumberFormat="1" applyFont="1" applyFill="1" applyBorder="1" applyAlignment="1">
      <alignment horizontal="center" vertical="center"/>
    </xf>
    <xf numFmtId="9" fontId="85" fillId="19" borderId="41" xfId="1" applyNumberFormat="1" applyFont="1" applyFill="1" applyBorder="1" applyAlignment="1">
      <alignment horizontal="center" vertical="center"/>
    </xf>
    <xf numFmtId="9" fontId="85" fillId="19" borderId="15" xfId="1" applyFont="1" applyFill="1" applyBorder="1" applyAlignment="1">
      <alignment horizontal="center" vertical="center"/>
    </xf>
    <xf numFmtId="0" fontId="84" fillId="0" borderId="0" xfId="0" applyFont="1" applyAlignment="1">
      <alignment horizontal="center" vertical="center"/>
    </xf>
    <xf numFmtId="0" fontId="93" fillId="0" borderId="0" xfId="0" applyFont="1" applyFill="1"/>
    <xf numFmtId="3" fontId="94" fillId="0" borderId="0" xfId="0" applyNumberFormat="1" applyFont="1" applyFill="1" applyBorder="1" applyAlignment="1">
      <alignment horizontal="center" vertical="center" wrapText="1"/>
    </xf>
    <xf numFmtId="0" fontId="95" fillId="0" borderId="42" xfId="0" applyFont="1" applyFill="1" applyBorder="1" applyAlignment="1">
      <alignment horizontal="right"/>
    </xf>
    <xf numFmtId="0" fontId="95" fillId="0" borderId="43" xfId="0" applyFont="1" applyFill="1" applyBorder="1" applyAlignment="1">
      <alignment horizontal="right"/>
    </xf>
    <xf numFmtId="0" fontId="95" fillId="0" borderId="0" xfId="0" applyFont="1" applyFill="1" applyBorder="1" applyAlignment="1">
      <alignment horizontal="right"/>
    </xf>
    <xf numFmtId="0" fontId="93" fillId="0" borderId="43" xfId="0" applyFont="1" applyFill="1" applyBorder="1" applyAlignment="1"/>
    <xf numFmtId="0" fontId="93" fillId="0" borderId="0" xfId="0" applyFont="1" applyFill="1" applyBorder="1" applyAlignment="1"/>
    <xf numFmtId="0" fontId="96" fillId="0" borderId="0" xfId="0" applyFont="1" applyFill="1" applyBorder="1" applyAlignment="1">
      <alignment horizontal="right"/>
    </xf>
    <xf numFmtId="0" fontId="95" fillId="0" borderId="0" xfId="0" applyFont="1" applyFill="1" applyAlignment="1">
      <alignment horizontal="right"/>
    </xf>
    <xf numFmtId="0" fontId="97" fillId="0" borderId="0" xfId="0" applyFont="1" applyFill="1" applyBorder="1" applyAlignment="1">
      <alignment horizontal="right"/>
    </xf>
    <xf numFmtId="0" fontId="93" fillId="0" borderId="0" xfId="0" applyFont="1"/>
  </cellXfs>
  <cellStyles count="24">
    <cellStyle name="HeaderStyle" xfId="4" xr:uid="{00000000-0005-0000-0000-000000000000}"/>
    <cellStyle name="Hipervínculo" xfId="13" builtinId="8"/>
    <cellStyle name="Hipervínculo 2" xfId="11" xr:uid="{00000000-0005-0000-0000-000002000000}"/>
    <cellStyle name="MainTitle" xfId="6" xr:uid="{00000000-0005-0000-0000-000003000000}"/>
    <cellStyle name="Millares [0]" xfId="3" builtinId="6"/>
    <cellStyle name="Millares [0] 2" xfId="10" xr:uid="{00000000-0005-0000-0000-000005000000}"/>
    <cellStyle name="Millares [0] 2 2" xfId="17" xr:uid="{00000000-0005-0000-0000-000005000000}"/>
    <cellStyle name="Millares [0] 2 3" xfId="22" xr:uid="{00000000-0005-0000-0000-000005000000}"/>
    <cellStyle name="Millares [0] 3" xfId="14" xr:uid="{00000000-0005-0000-0000-00003A000000}"/>
    <cellStyle name="Millares [0] 4" xfId="19" xr:uid="{00000000-0005-0000-0000-00003F000000}"/>
    <cellStyle name="Millares 2" xfId="12" xr:uid="{00000000-0005-0000-0000-000006000000}"/>
    <cellStyle name="Millares 2 2" xfId="18" xr:uid="{00000000-0005-0000-0000-000006000000}"/>
    <cellStyle name="Millares 2 3" xfId="23" xr:uid="{00000000-0005-0000-0000-000006000000}"/>
    <cellStyle name="Moneda [0]" xfId="5" builtinId="7"/>
    <cellStyle name="Moneda [0] 2" xfId="9" xr:uid="{00000000-0005-0000-0000-000008000000}"/>
    <cellStyle name="Moneda [0] 2 2" xfId="16" xr:uid="{00000000-0005-0000-0000-000008000000}"/>
    <cellStyle name="Moneda [0] 2 3" xfId="21" xr:uid="{00000000-0005-0000-0000-000008000000}"/>
    <cellStyle name="Moneda [0] 3" xfId="15" xr:uid="{00000000-0005-0000-0000-00003D000000}"/>
    <cellStyle name="Moneda [0] 4" xfId="20" xr:uid="{00000000-0005-0000-0000-000042000000}"/>
    <cellStyle name="Moneda 2" xfId="8" xr:uid="{00000000-0005-0000-0000-000009000000}"/>
    <cellStyle name="Normal" xfId="0" builtinId="0"/>
    <cellStyle name="Normal 2" xfId="2" xr:uid="{00000000-0005-0000-0000-00000B000000}"/>
    <cellStyle name="Normal 3" xfId="7" xr:uid="{00000000-0005-0000-0000-00000C000000}"/>
    <cellStyle name="Porcentaje" xfId="1" builtinId="5"/>
  </cellStyles>
  <dxfs count="12428">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rgb="FF9C0006"/>
      </font>
      <fill>
        <patternFill>
          <bgColor rgb="FFFFC7CE"/>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alcChain" Target="calcChain.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image" Target="../media/image9.png"/><Relationship Id="rId3" Type="http://schemas.openxmlformats.org/officeDocument/2006/relationships/hyperlink" Target="https://es.wikipedia.org/wiki/Perspectiva_c%C3%B3nica" TargetMode="External"/><Relationship Id="rId7" Type="http://schemas.openxmlformats.org/officeDocument/2006/relationships/hyperlink" Target="#'Cumplimiento Dependencias'!A1"/><Relationship Id="rId12" Type="http://schemas.openxmlformats.org/officeDocument/2006/relationships/hyperlink" Target="http://nancynwilson.com/building-an-online-business-2/" TargetMode="External"/><Relationship Id="rId2" Type="http://schemas.openxmlformats.org/officeDocument/2006/relationships/image" Target="../media/image5.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jpeg"/><Relationship Id="rId5" Type="http://schemas.openxmlformats.org/officeDocument/2006/relationships/image" Target="../media/image6.gif"/><Relationship Id="rId15" Type="http://schemas.openxmlformats.org/officeDocument/2006/relationships/image" Target="../media/image11.png"/><Relationship Id="rId10" Type="http://schemas.openxmlformats.org/officeDocument/2006/relationships/hyperlink" Target="#'Cuadro Mando Integral Detallado'!A1"/><Relationship Id="rId4" Type="http://schemas.openxmlformats.org/officeDocument/2006/relationships/hyperlink" Target="#'Cumplimiento de objetivos'!A1"/><Relationship Id="rId9" Type="http://schemas.openxmlformats.org/officeDocument/2006/relationships/hyperlink" Target="http://confesionesdemau.blogspot.com/2013/08/clases-de-personas.html" TargetMode="External"/><Relationship Id="rId1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364331</xdr:colOff>
      <xdr:row>0</xdr:row>
      <xdr:rowOff>154781</xdr:rowOff>
    </xdr:from>
    <xdr:ext cx="1516855" cy="250031"/>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9581" y="154781"/>
          <a:ext cx="1516855" cy="250031"/>
        </a:xfrm>
        <a:prstGeom prst="rect">
          <a:avLst/>
        </a:prstGeom>
        <a:noFill/>
        <a:ln>
          <a:noFill/>
        </a:ln>
      </xdr:spPr>
    </xdr:pic>
    <xdr:clientData/>
  </xdr:oneCellAnchor>
  <xdr:oneCellAnchor>
    <xdr:from>
      <xdr:col>47</xdr:col>
      <xdr:colOff>428626</xdr:colOff>
      <xdr:row>0</xdr:row>
      <xdr:rowOff>127905</xdr:rowOff>
    </xdr:from>
    <xdr:ext cx="1826422" cy="288814"/>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1" y="127905"/>
          <a:ext cx="1826422" cy="288814"/>
        </a:xfrm>
        <a:prstGeom prst="rect">
          <a:avLst/>
        </a:prstGeom>
        <a:noFill/>
        <a:ln>
          <a:noFill/>
        </a:ln>
      </xdr:spPr>
    </xdr:pic>
    <xdr:clientData/>
  </xdr:oneCellAnchor>
  <xdr:twoCellAnchor editAs="oneCell">
    <xdr:from>
      <xdr:col>2</xdr:col>
      <xdr:colOff>0</xdr:colOff>
      <xdr:row>16</xdr:row>
      <xdr:rowOff>0</xdr:rowOff>
    </xdr:from>
    <xdr:to>
      <xdr:col>8</xdr:col>
      <xdr:colOff>1028699</xdr:colOff>
      <xdr:row>26</xdr:row>
      <xdr:rowOff>100313</xdr:rowOff>
    </xdr:to>
    <xdr:pic>
      <xdr:nvPicPr>
        <xdr:cNvPr id="6" name="Imagen 5">
          <a:extLst>
            <a:ext uri="{FF2B5EF4-FFF2-40B4-BE49-F238E27FC236}">
              <a16:creationId xmlns:a16="http://schemas.microsoft.com/office/drawing/2014/main" id="{2818D3ED-DD09-4E82-A58F-29D0ED3ABB3A}"/>
            </a:ext>
          </a:extLst>
        </xdr:cNvPr>
        <xdr:cNvPicPr>
          <a:picLocks noChangeAspect="1"/>
        </xdr:cNvPicPr>
      </xdr:nvPicPr>
      <xdr:blipFill>
        <a:blip xmlns:r="http://schemas.openxmlformats.org/officeDocument/2006/relationships" r:embed="rId4"/>
        <a:stretch>
          <a:fillRect/>
        </a:stretch>
      </xdr:blipFill>
      <xdr:spPr>
        <a:xfrm>
          <a:off x="3417094" y="5595938"/>
          <a:ext cx="3552824" cy="2005313"/>
        </a:xfrm>
        <a:prstGeom prst="rect">
          <a:avLst/>
        </a:prstGeom>
      </xdr:spPr>
    </xdr:pic>
    <xdr:clientData/>
  </xdr:twoCellAnchor>
  <xdr:twoCellAnchor editAs="oneCell">
    <xdr:from>
      <xdr:col>8</xdr:col>
      <xdr:colOff>1245393</xdr:colOff>
      <xdr:row>16</xdr:row>
      <xdr:rowOff>0</xdr:rowOff>
    </xdr:from>
    <xdr:to>
      <xdr:col>18</xdr:col>
      <xdr:colOff>109537</xdr:colOff>
      <xdr:row>26</xdr:row>
      <xdr:rowOff>100313</xdr:rowOff>
    </xdr:to>
    <xdr:pic>
      <xdr:nvPicPr>
        <xdr:cNvPr id="7" name="Imagen 6">
          <a:extLst>
            <a:ext uri="{FF2B5EF4-FFF2-40B4-BE49-F238E27FC236}">
              <a16:creationId xmlns:a16="http://schemas.microsoft.com/office/drawing/2014/main" id="{81593F59-DA17-45CE-A972-A5E09482AF64}"/>
            </a:ext>
          </a:extLst>
        </xdr:cNvPr>
        <xdr:cNvPicPr>
          <a:picLocks noChangeAspect="1"/>
        </xdr:cNvPicPr>
      </xdr:nvPicPr>
      <xdr:blipFill>
        <a:blip xmlns:r="http://schemas.openxmlformats.org/officeDocument/2006/relationships" r:embed="rId5"/>
        <a:stretch>
          <a:fillRect/>
        </a:stretch>
      </xdr:blipFill>
      <xdr:spPr>
        <a:xfrm>
          <a:off x="7186612" y="5512594"/>
          <a:ext cx="3448050" cy="2005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73BF7EDB-462F-4F14-B098-F89D790A6A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364331</xdr:colOff>
      <xdr:row>0</xdr:row>
      <xdr:rowOff>154781</xdr:rowOff>
    </xdr:from>
    <xdr:ext cx="1516855" cy="250031"/>
    <xdr:pic>
      <xdr:nvPicPr>
        <xdr:cNvPr id="3" name="Imagen 2" descr="Image result for LOGO MINSALUD">
          <a:extLst>
            <a:ext uri="{FF2B5EF4-FFF2-40B4-BE49-F238E27FC236}">
              <a16:creationId xmlns:a16="http://schemas.microsoft.com/office/drawing/2014/main" id="{C6E8FBFD-C370-426B-99A6-2ACD5277A86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5131" y="154781"/>
          <a:ext cx="1516855" cy="250031"/>
        </a:xfrm>
        <a:prstGeom prst="rect">
          <a:avLst/>
        </a:prstGeom>
        <a:noFill/>
        <a:ln>
          <a:noFill/>
        </a:ln>
      </xdr:spPr>
    </xdr:pic>
    <xdr:clientData/>
  </xdr:oneCellAnchor>
  <xdr:oneCellAnchor>
    <xdr:from>
      <xdr:col>50</xdr:col>
      <xdr:colOff>428626</xdr:colOff>
      <xdr:row>0</xdr:row>
      <xdr:rowOff>127905</xdr:rowOff>
    </xdr:from>
    <xdr:ext cx="1826422" cy="288814"/>
    <xdr:pic>
      <xdr:nvPicPr>
        <xdr:cNvPr id="4" name="Imagen 3" descr="Image result for LOGO GOBIERNO DE COLOMBIA">
          <a:extLst>
            <a:ext uri="{FF2B5EF4-FFF2-40B4-BE49-F238E27FC236}">
              <a16:creationId xmlns:a16="http://schemas.microsoft.com/office/drawing/2014/main" id="{C1A11F17-E052-4BB5-B840-89EE14BBD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92601" y="127905"/>
          <a:ext cx="1826422" cy="288814"/>
        </a:xfrm>
        <a:prstGeom prst="rect">
          <a:avLst/>
        </a:prstGeom>
        <a:noFill/>
        <a:ln>
          <a:noFill/>
        </a:ln>
      </xdr:spPr>
    </xdr:pic>
    <xdr:clientData/>
  </xdr:oneCellAnchor>
  <xdr:twoCellAnchor editAs="oneCell">
    <xdr:from>
      <xdr:col>2</xdr:col>
      <xdr:colOff>0</xdr:colOff>
      <xdr:row>16</xdr:row>
      <xdr:rowOff>0</xdr:rowOff>
    </xdr:from>
    <xdr:to>
      <xdr:col>9</xdr:col>
      <xdr:colOff>242887</xdr:colOff>
      <xdr:row>26</xdr:row>
      <xdr:rowOff>100313</xdr:rowOff>
    </xdr:to>
    <xdr:pic>
      <xdr:nvPicPr>
        <xdr:cNvPr id="5" name="Imagen 4">
          <a:extLst>
            <a:ext uri="{FF2B5EF4-FFF2-40B4-BE49-F238E27FC236}">
              <a16:creationId xmlns:a16="http://schemas.microsoft.com/office/drawing/2014/main" id="{B3F4BDEC-A05F-4045-9DEF-0F6506FB557C}"/>
            </a:ext>
          </a:extLst>
        </xdr:cNvPr>
        <xdr:cNvPicPr>
          <a:picLocks noChangeAspect="1"/>
        </xdr:cNvPicPr>
      </xdr:nvPicPr>
      <xdr:blipFill>
        <a:blip xmlns:r="http://schemas.openxmlformats.org/officeDocument/2006/relationships" r:embed="rId4"/>
        <a:stretch>
          <a:fillRect/>
        </a:stretch>
      </xdr:blipFill>
      <xdr:spPr>
        <a:xfrm>
          <a:off x="3267075" y="5524500"/>
          <a:ext cx="3574256" cy="2005313"/>
        </a:xfrm>
        <a:prstGeom prst="rect">
          <a:avLst/>
        </a:prstGeom>
      </xdr:spPr>
    </xdr:pic>
    <xdr:clientData/>
  </xdr:twoCellAnchor>
  <xdr:twoCellAnchor editAs="oneCell">
    <xdr:from>
      <xdr:col>9</xdr:col>
      <xdr:colOff>438149</xdr:colOff>
      <xdr:row>16</xdr:row>
      <xdr:rowOff>0</xdr:rowOff>
    </xdr:from>
    <xdr:to>
      <xdr:col>21</xdr:col>
      <xdr:colOff>207167</xdr:colOff>
      <xdr:row>26</xdr:row>
      <xdr:rowOff>100313</xdr:rowOff>
    </xdr:to>
    <xdr:pic>
      <xdr:nvPicPr>
        <xdr:cNvPr id="6" name="Imagen 5">
          <a:extLst>
            <a:ext uri="{FF2B5EF4-FFF2-40B4-BE49-F238E27FC236}">
              <a16:creationId xmlns:a16="http://schemas.microsoft.com/office/drawing/2014/main" id="{C0AADEC4-60AC-4AE1-B594-F7512A203654}"/>
            </a:ext>
          </a:extLst>
        </xdr:cNvPr>
        <xdr:cNvPicPr>
          <a:picLocks noChangeAspect="1"/>
        </xdr:cNvPicPr>
      </xdr:nvPicPr>
      <xdr:blipFill>
        <a:blip xmlns:r="http://schemas.openxmlformats.org/officeDocument/2006/relationships" r:embed="rId5"/>
        <a:stretch>
          <a:fillRect/>
        </a:stretch>
      </xdr:blipFill>
      <xdr:spPr>
        <a:xfrm>
          <a:off x="7165180" y="5512594"/>
          <a:ext cx="3448050" cy="20053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FB117E09-F35A-4CC1-8D4C-B4B75F6F53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41" y="69273"/>
          <a:ext cx="1830903" cy="88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F7F776E3-0823-4C45-83E2-E81751B869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28236" y="205837"/>
          <a:ext cx="2041812" cy="544534"/>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22C87A76-9416-47B2-930E-1EFB0B0A76E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219724" y="193931"/>
          <a:ext cx="2110097" cy="55644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1365250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260350</xdr:colOff>
      <xdr:row>0</xdr:row>
      <xdr:rowOff>114298</xdr:rowOff>
    </xdr:from>
    <xdr:to>
      <xdr:col>68</xdr:col>
      <xdr:colOff>317499</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68</xdr:col>
      <xdr:colOff>652992</xdr:colOff>
      <xdr:row>0</xdr:row>
      <xdr:rowOff>112976</xdr:rowOff>
    </xdr:from>
    <xdr:to>
      <xdr:col>70</xdr:col>
      <xdr:colOff>808567</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49529</xdr:rowOff>
    </xdr:from>
    <xdr:to>
      <xdr:col>1</xdr:col>
      <xdr:colOff>561975</xdr:colOff>
      <xdr:row>20</xdr:row>
      <xdr:rowOff>81914</xdr:rowOff>
    </xdr:to>
    <xdr:pic>
      <xdr:nvPicPr>
        <xdr:cNvPr id="15" name="Imagen 14">
          <a:hlinkClick xmlns:r="http://schemas.openxmlformats.org/officeDocument/2006/relationships" r:id="rId7"/>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0"/>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6610350" y="8858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3"/>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360963</xdr:colOff>
      <xdr:row>0</xdr:row>
      <xdr:rowOff>101928</xdr:rowOff>
    </xdr:from>
    <xdr:to>
      <xdr:col>24</xdr:col>
      <xdr:colOff>324593</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28</xdr:col>
      <xdr:colOff>541315</xdr:colOff>
      <xdr:row>0</xdr:row>
      <xdr:rowOff>107340</xdr:rowOff>
    </xdr:from>
    <xdr:to>
      <xdr:col>30</xdr:col>
      <xdr:colOff>729094</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285750</xdr:colOff>
      <xdr:row>0</xdr:row>
      <xdr:rowOff>123826</xdr:rowOff>
    </xdr:from>
    <xdr:to>
      <xdr:col>44</xdr:col>
      <xdr:colOff>85726</xdr:colOff>
      <xdr:row>2</xdr:row>
      <xdr:rowOff>9525</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78775" y="123826"/>
          <a:ext cx="1685926" cy="266699"/>
        </a:xfrm>
        <a:prstGeom prst="rect">
          <a:avLst/>
        </a:prstGeom>
        <a:noFill/>
        <a:ln>
          <a:noFill/>
        </a:ln>
      </xdr:spPr>
    </xdr:pic>
    <xdr:clientData/>
  </xdr:twoCellAnchor>
  <xdr:twoCellAnchor editAs="oneCell">
    <xdr:from>
      <xdr:col>47</xdr:col>
      <xdr:colOff>152400</xdr:colOff>
      <xdr:row>0</xdr:row>
      <xdr:rowOff>125523</xdr:rowOff>
    </xdr:from>
    <xdr:to>
      <xdr:col>52</xdr:col>
      <xdr:colOff>0</xdr:colOff>
      <xdr:row>2</xdr:row>
      <xdr:rowOff>0</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88600" y="125523"/>
          <a:ext cx="2171700" cy="255477"/>
        </a:xfrm>
        <a:prstGeom prst="rect">
          <a:avLst/>
        </a:prstGeom>
        <a:noFill/>
        <a:ln>
          <a:noFill/>
        </a:ln>
      </xdr:spPr>
    </xdr:pic>
    <xdr:clientData/>
  </xdr:twoCellAnchor>
  <xdr:twoCellAnchor editAs="oneCell">
    <xdr:from>
      <xdr:col>1</xdr:col>
      <xdr:colOff>85726</xdr:colOff>
      <xdr:row>14</xdr:row>
      <xdr:rowOff>114300</xdr:rowOff>
    </xdr:from>
    <xdr:to>
      <xdr:col>8</xdr:col>
      <xdr:colOff>942975</xdr:colOff>
      <xdr:row>25</xdr:row>
      <xdr:rowOff>24113</xdr:rowOff>
    </xdr:to>
    <xdr:pic>
      <xdr:nvPicPr>
        <xdr:cNvPr id="8" name="Imagen 7">
          <a:extLst>
            <a:ext uri="{FF2B5EF4-FFF2-40B4-BE49-F238E27FC236}">
              <a16:creationId xmlns:a16="http://schemas.microsoft.com/office/drawing/2014/main" id="{84D4BFD6-A584-4BAA-A3FE-76D10150CA5E}"/>
            </a:ext>
          </a:extLst>
        </xdr:cNvPr>
        <xdr:cNvPicPr>
          <a:picLocks noChangeAspect="1"/>
        </xdr:cNvPicPr>
      </xdr:nvPicPr>
      <xdr:blipFill>
        <a:blip xmlns:r="http://schemas.openxmlformats.org/officeDocument/2006/relationships" r:embed="rId4"/>
        <a:stretch>
          <a:fillRect/>
        </a:stretch>
      </xdr:blipFill>
      <xdr:spPr>
        <a:xfrm>
          <a:off x="4467226" y="3314700"/>
          <a:ext cx="3552824" cy="2005313"/>
        </a:xfrm>
        <a:prstGeom prst="rect">
          <a:avLst/>
        </a:prstGeom>
      </xdr:spPr>
    </xdr:pic>
    <xdr:clientData/>
  </xdr:twoCellAnchor>
  <xdr:twoCellAnchor editAs="oneCell">
    <xdr:from>
      <xdr:col>21</xdr:col>
      <xdr:colOff>942975</xdr:colOff>
      <xdr:row>14</xdr:row>
      <xdr:rowOff>133350</xdr:rowOff>
    </xdr:from>
    <xdr:to>
      <xdr:col>29</xdr:col>
      <xdr:colOff>190500</xdr:colOff>
      <xdr:row>25</xdr:row>
      <xdr:rowOff>43163</xdr:rowOff>
    </xdr:to>
    <xdr:pic>
      <xdr:nvPicPr>
        <xdr:cNvPr id="9" name="Imagen 8">
          <a:extLst>
            <a:ext uri="{FF2B5EF4-FFF2-40B4-BE49-F238E27FC236}">
              <a16:creationId xmlns:a16="http://schemas.microsoft.com/office/drawing/2014/main" id="{8B92E799-BC34-4A25-8486-CD1EC7EE7638}"/>
            </a:ext>
          </a:extLst>
        </xdr:cNvPr>
        <xdr:cNvPicPr>
          <a:picLocks noChangeAspect="1"/>
        </xdr:cNvPicPr>
      </xdr:nvPicPr>
      <xdr:blipFill>
        <a:blip xmlns:r="http://schemas.openxmlformats.org/officeDocument/2006/relationships" r:embed="rId5"/>
        <a:stretch>
          <a:fillRect/>
        </a:stretch>
      </xdr:blipFill>
      <xdr:spPr>
        <a:xfrm>
          <a:off x="8048625" y="3228975"/>
          <a:ext cx="3448050" cy="20053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3BA28B00-F5D1-4909-AC29-851C7CAC76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285750</xdr:colOff>
      <xdr:row>0</xdr:row>
      <xdr:rowOff>123826</xdr:rowOff>
    </xdr:from>
    <xdr:to>
      <xdr:col>53</xdr:col>
      <xdr:colOff>95251</xdr:colOff>
      <xdr:row>2</xdr:row>
      <xdr:rowOff>9525</xdr:rowOff>
    </xdr:to>
    <xdr:pic>
      <xdr:nvPicPr>
        <xdr:cNvPr id="3" name="Imagen 2" descr="Image result for LOGO MINSALUD">
          <a:extLst>
            <a:ext uri="{FF2B5EF4-FFF2-40B4-BE49-F238E27FC236}">
              <a16:creationId xmlns:a16="http://schemas.microsoft.com/office/drawing/2014/main" id="{FA910ABE-0BC0-4349-86B8-E1DCB15A2A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40025" y="123826"/>
          <a:ext cx="1685926" cy="266699"/>
        </a:xfrm>
        <a:prstGeom prst="rect">
          <a:avLst/>
        </a:prstGeom>
        <a:noFill/>
        <a:ln>
          <a:noFill/>
        </a:ln>
      </xdr:spPr>
    </xdr:pic>
    <xdr:clientData/>
  </xdr:twoCellAnchor>
  <xdr:twoCellAnchor editAs="oneCell">
    <xdr:from>
      <xdr:col>53</xdr:col>
      <xdr:colOff>152400</xdr:colOff>
      <xdr:row>0</xdr:row>
      <xdr:rowOff>125523</xdr:rowOff>
    </xdr:from>
    <xdr:to>
      <xdr:col>58</xdr:col>
      <xdr:colOff>66675</xdr:colOff>
      <xdr:row>2</xdr:row>
      <xdr:rowOff>0</xdr:rowOff>
    </xdr:to>
    <xdr:pic>
      <xdr:nvPicPr>
        <xdr:cNvPr id="4" name="Imagen 3" descr="Image result for LOGO GOBIERNO DE COLOMBIA">
          <a:extLst>
            <a:ext uri="{FF2B5EF4-FFF2-40B4-BE49-F238E27FC236}">
              <a16:creationId xmlns:a16="http://schemas.microsoft.com/office/drawing/2014/main" id="{B7A5A023-16E6-4030-B33A-0A9EB76030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49850" y="125523"/>
          <a:ext cx="2171700" cy="255477"/>
        </a:xfrm>
        <a:prstGeom prst="rect">
          <a:avLst/>
        </a:prstGeom>
        <a:noFill/>
        <a:ln>
          <a:noFill/>
        </a:ln>
      </xdr:spPr>
    </xdr:pic>
    <xdr:clientData/>
  </xdr:twoCellAnchor>
  <xdr:twoCellAnchor editAs="oneCell">
    <xdr:from>
      <xdr:col>1</xdr:col>
      <xdr:colOff>85726</xdr:colOff>
      <xdr:row>15</xdr:row>
      <xdr:rowOff>114300</xdr:rowOff>
    </xdr:from>
    <xdr:to>
      <xdr:col>9</xdr:col>
      <xdr:colOff>161925</xdr:colOff>
      <xdr:row>26</xdr:row>
      <xdr:rowOff>24113</xdr:rowOff>
    </xdr:to>
    <xdr:pic>
      <xdr:nvPicPr>
        <xdr:cNvPr id="5" name="Imagen 4">
          <a:extLst>
            <a:ext uri="{FF2B5EF4-FFF2-40B4-BE49-F238E27FC236}">
              <a16:creationId xmlns:a16="http://schemas.microsoft.com/office/drawing/2014/main" id="{387EDAE1-5E20-4BDE-ACB5-EF6EA7D57E0B}"/>
            </a:ext>
          </a:extLst>
        </xdr:cNvPr>
        <xdr:cNvPicPr>
          <a:picLocks noChangeAspect="1"/>
        </xdr:cNvPicPr>
      </xdr:nvPicPr>
      <xdr:blipFill>
        <a:blip xmlns:r="http://schemas.openxmlformats.org/officeDocument/2006/relationships" r:embed="rId4"/>
        <a:stretch>
          <a:fillRect/>
        </a:stretch>
      </xdr:blipFill>
      <xdr:spPr>
        <a:xfrm>
          <a:off x="4381500" y="3209925"/>
          <a:ext cx="3552824" cy="2005313"/>
        </a:xfrm>
        <a:prstGeom prst="rect">
          <a:avLst/>
        </a:prstGeom>
      </xdr:spPr>
    </xdr:pic>
    <xdr:clientData/>
  </xdr:twoCellAnchor>
  <xdr:twoCellAnchor editAs="oneCell">
    <xdr:from>
      <xdr:col>9</xdr:col>
      <xdr:colOff>295275</xdr:colOff>
      <xdr:row>15</xdr:row>
      <xdr:rowOff>114300</xdr:rowOff>
    </xdr:from>
    <xdr:to>
      <xdr:col>15</xdr:col>
      <xdr:colOff>1866900</xdr:colOff>
      <xdr:row>26</xdr:row>
      <xdr:rowOff>24113</xdr:rowOff>
    </xdr:to>
    <xdr:pic>
      <xdr:nvPicPr>
        <xdr:cNvPr id="6" name="Imagen 5">
          <a:extLst>
            <a:ext uri="{FF2B5EF4-FFF2-40B4-BE49-F238E27FC236}">
              <a16:creationId xmlns:a16="http://schemas.microsoft.com/office/drawing/2014/main" id="{2012BFCF-DA99-47A5-85C3-F0F88A781E4C}"/>
            </a:ext>
          </a:extLst>
        </xdr:cNvPr>
        <xdr:cNvPicPr>
          <a:picLocks noChangeAspect="1"/>
        </xdr:cNvPicPr>
      </xdr:nvPicPr>
      <xdr:blipFill>
        <a:blip xmlns:r="http://schemas.openxmlformats.org/officeDocument/2006/relationships" r:embed="rId5"/>
        <a:stretch>
          <a:fillRect/>
        </a:stretch>
      </xdr:blipFill>
      <xdr:spPr>
        <a:xfrm>
          <a:off x="8153400" y="3400425"/>
          <a:ext cx="3448050" cy="2005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228599</xdr:colOff>
      <xdr:row>0</xdr:row>
      <xdr:rowOff>180976</xdr:rowOff>
    </xdr:from>
    <xdr:ext cx="1619251" cy="257174"/>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88149" y="180976"/>
          <a:ext cx="1619251" cy="257174"/>
        </a:xfrm>
        <a:prstGeom prst="rect">
          <a:avLst/>
        </a:prstGeom>
        <a:noFill/>
        <a:ln>
          <a:noFill/>
        </a:ln>
      </xdr:spPr>
    </xdr:pic>
    <xdr:clientData/>
  </xdr:oneCellAnchor>
  <xdr:oneCellAnchor>
    <xdr:from>
      <xdr:col>47</xdr:col>
      <xdr:colOff>561975</xdr:colOff>
      <xdr:row>0</xdr:row>
      <xdr:rowOff>154098</xdr:rowOff>
    </xdr:from>
    <xdr:ext cx="1743075" cy="265002"/>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64700" y="154098"/>
          <a:ext cx="1743075" cy="265002"/>
        </a:xfrm>
        <a:prstGeom prst="rect">
          <a:avLst/>
        </a:prstGeom>
        <a:noFill/>
        <a:ln>
          <a:noFill/>
        </a:ln>
      </xdr:spPr>
    </xdr:pic>
    <xdr:clientData/>
  </xdr:oneCellAnchor>
  <xdr:twoCellAnchor editAs="oneCell">
    <xdr:from>
      <xdr:col>2</xdr:col>
      <xdr:colOff>0</xdr:colOff>
      <xdr:row>12</xdr:row>
      <xdr:rowOff>95250</xdr:rowOff>
    </xdr:from>
    <xdr:to>
      <xdr:col>21</xdr:col>
      <xdr:colOff>828674</xdr:colOff>
      <xdr:row>23</xdr:row>
      <xdr:rowOff>5063</xdr:rowOff>
    </xdr:to>
    <xdr:pic>
      <xdr:nvPicPr>
        <xdr:cNvPr id="6" name="Imagen 5">
          <a:extLst>
            <a:ext uri="{FF2B5EF4-FFF2-40B4-BE49-F238E27FC236}">
              <a16:creationId xmlns:a16="http://schemas.microsoft.com/office/drawing/2014/main" id="{5D2DA8C4-4AC9-4357-B858-8FC22DA9D401}"/>
            </a:ext>
          </a:extLst>
        </xdr:cNvPr>
        <xdr:cNvPicPr>
          <a:picLocks noChangeAspect="1"/>
        </xdr:cNvPicPr>
      </xdr:nvPicPr>
      <xdr:blipFill>
        <a:blip xmlns:r="http://schemas.openxmlformats.org/officeDocument/2006/relationships" r:embed="rId4"/>
        <a:stretch>
          <a:fillRect/>
        </a:stretch>
      </xdr:blipFill>
      <xdr:spPr>
        <a:xfrm>
          <a:off x="3419475" y="4972050"/>
          <a:ext cx="3552824" cy="2005313"/>
        </a:xfrm>
        <a:prstGeom prst="rect">
          <a:avLst/>
        </a:prstGeom>
      </xdr:spPr>
    </xdr:pic>
    <xdr:clientData/>
  </xdr:twoCellAnchor>
  <xdr:twoCellAnchor editAs="oneCell">
    <xdr:from>
      <xdr:col>21</xdr:col>
      <xdr:colOff>952499</xdr:colOff>
      <xdr:row>12</xdr:row>
      <xdr:rowOff>95250</xdr:rowOff>
    </xdr:from>
    <xdr:to>
      <xdr:col>29</xdr:col>
      <xdr:colOff>200024</xdr:colOff>
      <xdr:row>23</xdr:row>
      <xdr:rowOff>5063</xdr:rowOff>
    </xdr:to>
    <xdr:pic>
      <xdr:nvPicPr>
        <xdr:cNvPr id="7" name="Imagen 6">
          <a:extLst>
            <a:ext uri="{FF2B5EF4-FFF2-40B4-BE49-F238E27FC236}">
              <a16:creationId xmlns:a16="http://schemas.microsoft.com/office/drawing/2014/main" id="{C1BB7BD6-10BC-4191-82E6-D17B1DEB4915}"/>
            </a:ext>
          </a:extLst>
        </xdr:cNvPr>
        <xdr:cNvPicPr>
          <a:picLocks noChangeAspect="1"/>
        </xdr:cNvPicPr>
      </xdr:nvPicPr>
      <xdr:blipFill>
        <a:blip xmlns:r="http://schemas.openxmlformats.org/officeDocument/2006/relationships" r:embed="rId5"/>
        <a:stretch>
          <a:fillRect/>
        </a:stretch>
      </xdr:blipFill>
      <xdr:spPr>
        <a:xfrm>
          <a:off x="6943724" y="4972050"/>
          <a:ext cx="3448050" cy="20053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2A0EF6D5-A9BD-458F-B989-C3FEC4168CF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228599</xdr:colOff>
      <xdr:row>0</xdr:row>
      <xdr:rowOff>180976</xdr:rowOff>
    </xdr:from>
    <xdr:ext cx="1619251" cy="257174"/>
    <xdr:pic>
      <xdr:nvPicPr>
        <xdr:cNvPr id="3" name="Imagen 2" descr="Image result for LOGO MINSALUD">
          <a:extLst>
            <a:ext uri="{FF2B5EF4-FFF2-40B4-BE49-F238E27FC236}">
              <a16:creationId xmlns:a16="http://schemas.microsoft.com/office/drawing/2014/main" id="{7B508B35-14C3-4FA9-AADC-A5541E559ED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9399" y="180976"/>
          <a:ext cx="1619251" cy="257174"/>
        </a:xfrm>
        <a:prstGeom prst="rect">
          <a:avLst/>
        </a:prstGeom>
        <a:noFill/>
        <a:ln>
          <a:noFill/>
        </a:ln>
      </xdr:spPr>
    </xdr:pic>
    <xdr:clientData/>
  </xdr:oneCellAnchor>
  <xdr:oneCellAnchor>
    <xdr:from>
      <xdr:col>50</xdr:col>
      <xdr:colOff>561975</xdr:colOff>
      <xdr:row>0</xdr:row>
      <xdr:rowOff>154098</xdr:rowOff>
    </xdr:from>
    <xdr:ext cx="1743075" cy="265002"/>
    <xdr:pic>
      <xdr:nvPicPr>
        <xdr:cNvPr id="4" name="Imagen 3" descr="Image result for LOGO GOBIERNO DE COLOMBIA">
          <a:extLst>
            <a:ext uri="{FF2B5EF4-FFF2-40B4-BE49-F238E27FC236}">
              <a16:creationId xmlns:a16="http://schemas.microsoft.com/office/drawing/2014/main" id="{C80EA815-EF88-49FA-80E3-18976C7738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25950" y="154098"/>
          <a:ext cx="1743075" cy="265002"/>
        </a:xfrm>
        <a:prstGeom prst="rect">
          <a:avLst/>
        </a:prstGeom>
        <a:noFill/>
        <a:ln>
          <a:noFill/>
        </a:ln>
      </xdr:spPr>
    </xdr:pic>
    <xdr:clientData/>
  </xdr:oneCellAnchor>
  <xdr:twoCellAnchor editAs="oneCell">
    <xdr:from>
      <xdr:col>2</xdr:col>
      <xdr:colOff>0</xdr:colOff>
      <xdr:row>12</xdr:row>
      <xdr:rowOff>95250</xdr:rowOff>
    </xdr:from>
    <xdr:to>
      <xdr:col>9</xdr:col>
      <xdr:colOff>304799</xdr:colOff>
      <xdr:row>23</xdr:row>
      <xdr:rowOff>5063</xdr:rowOff>
    </xdr:to>
    <xdr:pic>
      <xdr:nvPicPr>
        <xdr:cNvPr id="5" name="Imagen 4">
          <a:extLst>
            <a:ext uri="{FF2B5EF4-FFF2-40B4-BE49-F238E27FC236}">
              <a16:creationId xmlns:a16="http://schemas.microsoft.com/office/drawing/2014/main" id="{E32AFF7C-E69A-4F8D-AD37-4154EDA9317C}"/>
            </a:ext>
          </a:extLst>
        </xdr:cNvPr>
        <xdr:cNvPicPr>
          <a:picLocks noChangeAspect="1"/>
        </xdr:cNvPicPr>
      </xdr:nvPicPr>
      <xdr:blipFill>
        <a:blip xmlns:r="http://schemas.openxmlformats.org/officeDocument/2006/relationships" r:embed="rId4"/>
        <a:stretch>
          <a:fillRect/>
        </a:stretch>
      </xdr:blipFill>
      <xdr:spPr>
        <a:xfrm>
          <a:off x="3267075" y="4972050"/>
          <a:ext cx="3552824" cy="2005313"/>
        </a:xfrm>
        <a:prstGeom prst="rect">
          <a:avLst/>
        </a:prstGeom>
      </xdr:spPr>
    </xdr:pic>
    <xdr:clientData/>
  </xdr:twoCellAnchor>
  <xdr:twoCellAnchor editAs="oneCell">
    <xdr:from>
      <xdr:col>9</xdr:col>
      <xdr:colOff>533399</xdr:colOff>
      <xdr:row>12</xdr:row>
      <xdr:rowOff>95250</xdr:rowOff>
    </xdr:from>
    <xdr:to>
      <xdr:col>22</xdr:col>
      <xdr:colOff>47624</xdr:colOff>
      <xdr:row>23</xdr:row>
      <xdr:rowOff>5063</xdr:rowOff>
    </xdr:to>
    <xdr:pic>
      <xdr:nvPicPr>
        <xdr:cNvPr id="6" name="Imagen 5">
          <a:extLst>
            <a:ext uri="{FF2B5EF4-FFF2-40B4-BE49-F238E27FC236}">
              <a16:creationId xmlns:a16="http://schemas.microsoft.com/office/drawing/2014/main" id="{59CB87A2-A4A6-4EEB-9B8E-21EA7B6029ED}"/>
            </a:ext>
          </a:extLst>
        </xdr:cNvPr>
        <xdr:cNvPicPr>
          <a:picLocks noChangeAspect="1"/>
        </xdr:cNvPicPr>
      </xdr:nvPicPr>
      <xdr:blipFill>
        <a:blip xmlns:r="http://schemas.openxmlformats.org/officeDocument/2006/relationships" r:embed="rId5"/>
        <a:stretch>
          <a:fillRect/>
        </a:stretch>
      </xdr:blipFill>
      <xdr:spPr>
        <a:xfrm>
          <a:off x="7200899" y="4972050"/>
          <a:ext cx="3448050" cy="2005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icardo.triana/AppData/Local/Microsoft/Windows/INetCache/Content.Outlook/NSJG1V0A/Plan%20Accion%20ADRES%20DOP%2024-01-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orela.briceno/Documents/Otros/Plan%20Accion%20ADRES%20Vigencia%202018%20V3%20One%20Drive%20DGTI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lan%20Accion%20ADRES%20Vigencia%202018%20con%20Cuadro%20de%20Mando%20V3%20Integra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Accion%20ADRES%20Vigencia%202018%20ADRES%2026-01-18%20JC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DE%20ACCION%20TALENTO%20HUMANO%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sheetData sheetId="2">
        <row r="4">
          <cell r="Z4" t="str">
            <v xml:space="preserve">Codigo Plan de Acción </v>
          </cell>
          <cell r="AA4" t="str">
            <v>Vigencia Futura 2018</v>
          </cell>
          <cell r="AB4" t="str">
            <v xml:space="preserve">Virgencia Corriente </v>
          </cell>
          <cell r="AC4" t="str">
            <v>TOTAL</v>
          </cell>
        </row>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36720000</v>
          </cell>
          <cell r="AC16">
            <v>36720000</v>
          </cell>
          <cell r="AD16">
            <v>6885000</v>
          </cell>
          <cell r="AE16">
            <v>6885000</v>
          </cell>
          <cell r="AF16">
            <v>6885000</v>
          </cell>
          <cell r="AG16">
            <v>6885000</v>
          </cell>
        </row>
        <row r="17">
          <cell r="Z17" t="str">
            <v>11500-3-3-1</v>
          </cell>
          <cell r="AA17">
            <v>0</v>
          </cell>
          <cell r="AB17">
            <v>0</v>
          </cell>
          <cell r="AC17">
            <v>0</v>
          </cell>
          <cell r="AD17">
            <v>0</v>
          </cell>
          <cell r="AE17">
            <v>0</v>
          </cell>
          <cell r="AF17">
            <v>0</v>
          </cell>
          <cell r="AG17">
            <v>0</v>
          </cell>
        </row>
        <row r="18">
          <cell r="Z18" t="str">
            <v>11500-3-6-1</v>
          </cell>
          <cell r="AA18">
            <v>0</v>
          </cell>
          <cell r="AB18">
            <v>195840000</v>
          </cell>
          <cell r="AC18">
            <v>195840000</v>
          </cell>
          <cell r="AD18">
            <v>48960000</v>
          </cell>
          <cell r="AE18">
            <v>48960000</v>
          </cell>
          <cell r="AF18">
            <v>48960000</v>
          </cell>
          <cell r="AG18">
            <v>48960000</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11700-2-8-1</v>
          </cell>
          <cell r="AA27">
            <v>0</v>
          </cell>
          <cell r="AB27">
            <v>321766980</v>
          </cell>
          <cell r="AC27">
            <v>321766980</v>
          </cell>
          <cell r="AD27">
            <v>104921745</v>
          </cell>
          <cell r="AE27">
            <v>72281745</v>
          </cell>
          <cell r="AF27">
            <v>72281745</v>
          </cell>
          <cell r="AG27">
            <v>72281745</v>
          </cell>
        </row>
        <row r="28">
          <cell r="Z28" t="str">
            <v>11700-2-10-2</v>
          </cell>
          <cell r="AA28">
            <v>0</v>
          </cell>
          <cell r="AB28">
            <v>800000000</v>
          </cell>
          <cell r="AC28">
            <v>800000000</v>
          </cell>
          <cell r="AD28">
            <v>80000000</v>
          </cell>
          <cell r="AE28">
            <v>240000000</v>
          </cell>
          <cell r="AF28">
            <v>240000000</v>
          </cell>
          <cell r="AG28">
            <v>240000000</v>
          </cell>
        </row>
        <row r="29">
          <cell r="Z29" t="str">
            <v>11700-2-11-1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6000000</v>
          </cell>
          <cell r="AC30">
            <v>6000000</v>
          </cell>
          <cell r="AD30">
            <v>1090909.0909090908</v>
          </cell>
          <cell r="AE30">
            <v>1636363.6363636362</v>
          </cell>
          <cell r="AF30">
            <v>1636363.6363636362</v>
          </cell>
          <cell r="AG30">
            <v>1636363.6363636362</v>
          </cell>
        </row>
        <row r="31">
          <cell r="Z31" t="str">
            <v>11700-2-13-1</v>
          </cell>
          <cell r="AA31">
            <v>0</v>
          </cell>
          <cell r="AB31">
            <v>27880404</v>
          </cell>
          <cell r="AC31">
            <v>27880404</v>
          </cell>
          <cell r="AD31">
            <v>6970101</v>
          </cell>
          <cell r="AE31">
            <v>6970101</v>
          </cell>
          <cell r="AF31">
            <v>6970101</v>
          </cell>
          <cell r="AG31">
            <v>6970101</v>
          </cell>
        </row>
        <row r="32">
          <cell r="Z32" t="str">
            <v>11700-2-13-2</v>
          </cell>
          <cell r="AA32">
            <v>0</v>
          </cell>
          <cell r="AB32">
            <v>48960000</v>
          </cell>
          <cell r="AC32">
            <v>48960000</v>
          </cell>
          <cell r="AD32">
            <v>12240000</v>
          </cell>
          <cell r="AE32">
            <v>12240000</v>
          </cell>
          <cell r="AF32">
            <v>12240000</v>
          </cell>
          <cell r="AG32">
            <v>12240000</v>
          </cell>
        </row>
        <row r="33">
          <cell r="Z33" t="str">
            <v>11700-2-14-1</v>
          </cell>
          <cell r="AA33">
            <v>0</v>
          </cell>
          <cell r="AB33">
            <v>60000000</v>
          </cell>
          <cell r="AC33">
            <v>60000000</v>
          </cell>
          <cell r="AD33">
            <v>10909090.909090908</v>
          </cell>
          <cell r="AE33">
            <v>16363636.363636363</v>
          </cell>
          <cell r="AF33">
            <v>16363636.363636363</v>
          </cell>
          <cell r="AG33">
            <v>16363636.363636363</v>
          </cell>
        </row>
        <row r="34">
          <cell r="Z34" t="str">
            <v>11700-2-15-1</v>
          </cell>
          <cell r="AA34">
            <v>0</v>
          </cell>
          <cell r="AB34">
            <v>2468609473</v>
          </cell>
          <cell r="AC34">
            <v>2468609473</v>
          </cell>
          <cell r="AD34">
            <v>5709090.9090909092</v>
          </cell>
          <cell r="AE34">
            <v>5563636.3636363633</v>
          </cell>
          <cell r="AF34">
            <v>1097359970.2636366</v>
          </cell>
          <cell r="AG34">
            <v>1359976775.4636364</v>
          </cell>
        </row>
        <row r="35">
          <cell r="Z35" t="str">
            <v>11700-2-16-1</v>
          </cell>
          <cell r="AA35">
            <v>0</v>
          </cell>
          <cell r="AB35">
            <v>150000000</v>
          </cell>
          <cell r="AC35">
            <v>150000000</v>
          </cell>
          <cell r="AD35">
            <v>0</v>
          </cell>
          <cell r="AE35">
            <v>0</v>
          </cell>
          <cell r="AF35">
            <v>60000000</v>
          </cell>
          <cell r="AG35">
            <v>90000000</v>
          </cell>
        </row>
        <row r="36">
          <cell r="Z36" t="str">
            <v>11700-2-16-1</v>
          </cell>
          <cell r="AA36">
            <v>0</v>
          </cell>
          <cell r="AB36">
            <v>150000000</v>
          </cell>
          <cell r="AC36">
            <v>150000000</v>
          </cell>
          <cell r="AD36">
            <v>0</v>
          </cell>
          <cell r="AE36">
            <v>0</v>
          </cell>
          <cell r="AF36">
            <v>60000000</v>
          </cell>
          <cell r="AG36">
            <v>90000000</v>
          </cell>
        </row>
        <row r="37">
          <cell r="Z37" t="str">
            <v>11700-2-17-1</v>
          </cell>
          <cell r="AA37">
            <v>0</v>
          </cell>
          <cell r="AB37">
            <v>497391434</v>
          </cell>
          <cell r="AC37">
            <v>497391434</v>
          </cell>
          <cell r="AD37">
            <v>0</v>
          </cell>
          <cell r="AE37">
            <v>0</v>
          </cell>
          <cell r="AF37">
            <v>248695717</v>
          </cell>
          <cell r="AG37">
            <v>248695717</v>
          </cell>
        </row>
        <row r="38">
          <cell r="Z38" t="str">
            <v>11700-2-17-2</v>
          </cell>
          <cell r="AA38">
            <v>0</v>
          </cell>
          <cell r="AB38">
            <v>0</v>
          </cell>
          <cell r="AC38">
            <v>0</v>
          </cell>
          <cell r="AD38">
            <v>0</v>
          </cell>
          <cell r="AE38">
            <v>0</v>
          </cell>
          <cell r="AF38">
            <v>0</v>
          </cell>
          <cell r="AG38">
            <v>0</v>
          </cell>
        </row>
        <row r="39">
          <cell r="Z39" t="str">
            <v>11900-3-1-1</v>
          </cell>
          <cell r="AA39">
            <v>0</v>
          </cell>
          <cell r="AB39">
            <v>254442984</v>
          </cell>
          <cell r="AC39">
            <v>254442984</v>
          </cell>
          <cell r="AD39">
            <v>63610746</v>
          </cell>
          <cell r="AE39">
            <v>63610746</v>
          </cell>
          <cell r="AF39">
            <v>63610746</v>
          </cell>
          <cell r="AG39">
            <v>63610746</v>
          </cell>
        </row>
        <row r="40">
          <cell r="Z40" t="str">
            <v>11900-3-2-1</v>
          </cell>
          <cell r="AA40">
            <v>0</v>
          </cell>
          <cell r="AB40">
            <v>294388072</v>
          </cell>
          <cell r="AC40">
            <v>294388072</v>
          </cell>
          <cell r="AD40">
            <v>24093915</v>
          </cell>
          <cell r="AE40">
            <v>24093915</v>
          </cell>
          <cell r="AF40">
            <v>73597018</v>
          </cell>
          <cell r="AG40">
            <v>172603224</v>
          </cell>
        </row>
        <row r="41">
          <cell r="Z41" t="str">
            <v>11900-3-4-1</v>
          </cell>
          <cell r="AA41">
            <v>0</v>
          </cell>
          <cell r="AB41">
            <v>140708456</v>
          </cell>
          <cell r="AC41">
            <v>140708456</v>
          </cell>
          <cell r="AD41">
            <v>52765671</v>
          </cell>
          <cell r="AE41">
            <v>52765671</v>
          </cell>
          <cell r="AF41">
            <v>35177114</v>
          </cell>
          <cell r="AG41">
            <v>0</v>
          </cell>
        </row>
        <row r="42">
          <cell r="Z42" t="str">
            <v>11900-3-5-1</v>
          </cell>
          <cell r="AA42">
            <v>0</v>
          </cell>
          <cell r="AB42">
            <v>48960000</v>
          </cell>
          <cell r="AC42">
            <v>48960000</v>
          </cell>
          <cell r="AD42">
            <v>12240000</v>
          </cell>
          <cell r="AE42">
            <v>12240000</v>
          </cell>
          <cell r="AF42">
            <v>12240000</v>
          </cell>
          <cell r="AG42">
            <v>12240000</v>
          </cell>
        </row>
        <row r="43">
          <cell r="Z43" t="str">
            <v>11900-3-6-1</v>
          </cell>
          <cell r="AA43">
            <v>0</v>
          </cell>
          <cell r="AB43">
            <v>53164884</v>
          </cell>
          <cell r="AC43">
            <v>53164884</v>
          </cell>
          <cell r="AD43">
            <v>13291221</v>
          </cell>
          <cell r="AE43">
            <v>13291221</v>
          </cell>
          <cell r="AF43">
            <v>13291221</v>
          </cell>
          <cell r="AG43">
            <v>13291221</v>
          </cell>
        </row>
        <row r="44">
          <cell r="Z44" t="str">
            <v>11900-3-7-1</v>
          </cell>
          <cell r="AA44">
            <v>0</v>
          </cell>
          <cell r="AB44">
            <v>35443256</v>
          </cell>
          <cell r="AC44">
            <v>35443256</v>
          </cell>
          <cell r="AD44">
            <v>13291221</v>
          </cell>
          <cell r="AE44">
            <v>13291221</v>
          </cell>
          <cell r="AF44">
            <v>8860814</v>
          </cell>
          <cell r="AG44">
            <v>0</v>
          </cell>
        </row>
        <row r="45">
          <cell r="Z45" t="str">
            <v>11900-3-9-1</v>
          </cell>
          <cell r="AA45">
            <v>0</v>
          </cell>
          <cell r="AB45">
            <v>595641936</v>
          </cell>
          <cell r="AC45">
            <v>595641936</v>
          </cell>
          <cell r="AD45">
            <v>77660484</v>
          </cell>
          <cell r="AE45">
            <v>77660484</v>
          </cell>
          <cell r="AF45">
            <v>148910484</v>
          </cell>
          <cell r="AG45">
            <v>291410484</v>
          </cell>
        </row>
        <row r="46">
          <cell r="Z46" t="str">
            <v>11900-3-10-3</v>
          </cell>
          <cell r="AA46">
            <v>0</v>
          </cell>
          <cell r="AB46">
            <v>55760808</v>
          </cell>
          <cell r="AC46">
            <v>55760808</v>
          </cell>
          <cell r="AD46">
            <v>13940202</v>
          </cell>
          <cell r="AE46">
            <v>13940202</v>
          </cell>
          <cell r="AF46">
            <v>13940202</v>
          </cell>
          <cell r="AG46">
            <v>13940202</v>
          </cell>
        </row>
        <row r="47">
          <cell r="Z47" t="str">
            <v>12000-2-2-1</v>
          </cell>
          <cell r="AA47">
            <v>0</v>
          </cell>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sheetData sheetId="1" refreshError="1"/>
      <sheetData sheetId="2">
        <row r="67">
          <cell r="G67">
            <v>32640000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v>0</v>
          </cell>
          <cell r="AB5">
            <v>500000000</v>
          </cell>
          <cell r="AC5">
            <v>500000000</v>
          </cell>
          <cell r="AD5">
            <v>50000000</v>
          </cell>
        </row>
        <row r="6">
          <cell r="Z6" t="str">
            <v>11300-4-1-1</v>
          </cell>
          <cell r="AA6">
            <v>0</v>
          </cell>
          <cell r="AB6">
            <v>53187356</v>
          </cell>
          <cell r="AC6">
            <v>53187356</v>
          </cell>
          <cell r="AD6">
            <v>12240000</v>
          </cell>
        </row>
        <row r="7">
          <cell r="Z7" t="str">
            <v>11300-4-2-1</v>
          </cell>
          <cell r="AA7">
            <v>0</v>
          </cell>
          <cell r="AB7">
            <v>233813092</v>
          </cell>
          <cell r="AC7">
            <v>233813092</v>
          </cell>
          <cell r="AD7">
            <v>60776640</v>
          </cell>
        </row>
        <row r="8">
          <cell r="Z8" t="str">
            <v>11300-4-4-1</v>
          </cell>
          <cell r="AA8">
            <v>0</v>
          </cell>
          <cell r="AB8">
            <v>292066560</v>
          </cell>
          <cell r="AC8">
            <v>292066560</v>
          </cell>
          <cell r="AD8">
            <v>73016640</v>
          </cell>
        </row>
        <row r="9">
          <cell r="Z9" t="str">
            <v>11300-4-5-1</v>
          </cell>
          <cell r="AA9">
            <v>0</v>
          </cell>
          <cell r="AB9">
            <v>48960000</v>
          </cell>
          <cell r="AC9">
            <v>48960000</v>
          </cell>
          <cell r="AD9">
            <v>12240000</v>
          </cell>
        </row>
        <row r="10">
          <cell r="Z10" t="str">
            <v>11300-4-6-1</v>
          </cell>
          <cell r="AA10">
            <v>0</v>
          </cell>
          <cell r="AB10">
            <v>281973872</v>
          </cell>
          <cell r="AC10">
            <v>281973872</v>
          </cell>
          <cell r="AD10">
            <v>68170101</v>
          </cell>
        </row>
        <row r="11">
          <cell r="Z11" t="str">
            <v>11300-4-8-1</v>
          </cell>
          <cell r="AA11">
            <v>0</v>
          </cell>
          <cell r="AB11">
            <v>580945500</v>
          </cell>
          <cell r="AC11">
            <v>580945500</v>
          </cell>
          <cell r="AD11">
            <v>105626454.54545453</v>
          </cell>
        </row>
        <row r="12">
          <cell r="Z12" t="str">
            <v>11400-3-1-1</v>
          </cell>
          <cell r="AA12">
            <v>0</v>
          </cell>
          <cell r="AB12">
            <v>100516376</v>
          </cell>
          <cell r="AC12">
            <v>100516376</v>
          </cell>
          <cell r="AD12">
            <v>43249020</v>
          </cell>
        </row>
        <row r="13">
          <cell r="Z13" t="str">
            <v>11400-3-4-2</v>
          </cell>
          <cell r="AA13">
            <v>0</v>
          </cell>
          <cell r="AB13">
            <v>48960000</v>
          </cell>
          <cell r="AC13">
            <v>48960000</v>
          </cell>
          <cell r="AD13">
            <v>12240000</v>
          </cell>
        </row>
        <row r="14">
          <cell r="Z14" t="str">
            <v>11400-3-5-1</v>
          </cell>
          <cell r="AA14">
            <v>0</v>
          </cell>
          <cell r="AB14">
            <v>164378848</v>
          </cell>
          <cell r="AC14">
            <v>164378848</v>
          </cell>
          <cell r="AD14">
            <v>46231551</v>
          </cell>
        </row>
        <row r="15">
          <cell r="Z15" t="str">
            <v>11400-3-14-1</v>
          </cell>
          <cell r="AA15">
            <v>0</v>
          </cell>
          <cell r="AB15">
            <v>55000000</v>
          </cell>
          <cell r="AC15">
            <v>55000000</v>
          </cell>
          <cell r="AD15">
            <v>55000000</v>
          </cell>
        </row>
        <row r="16">
          <cell r="Z16" t="str">
            <v>11500-3-1-1</v>
          </cell>
          <cell r="AA16">
            <v>0</v>
          </cell>
          <cell r="AB16">
            <v>48960000</v>
          </cell>
          <cell r="AC16">
            <v>48960000</v>
          </cell>
          <cell r="AD16">
            <v>12240000</v>
          </cell>
        </row>
        <row r="17">
          <cell r="Z17" t="str">
            <v>11500-3-3-1</v>
          </cell>
          <cell r="AA17">
            <v>0</v>
          </cell>
          <cell r="AB17">
            <v>195840000</v>
          </cell>
          <cell r="AC17">
            <v>195840000</v>
          </cell>
          <cell r="AD17">
            <v>48960000</v>
          </cell>
        </row>
        <row r="18">
          <cell r="Z18" t="str">
            <v>11500-3-6-1</v>
          </cell>
          <cell r="AA18">
            <v>0</v>
          </cell>
          <cell r="AB18">
            <v>30882027540</v>
          </cell>
          <cell r="AC18">
            <v>30882027540</v>
          </cell>
          <cell r="AD18">
            <v>0</v>
          </cell>
        </row>
        <row r="19">
          <cell r="Z19" t="str">
            <v>11600-3-2-1</v>
          </cell>
          <cell r="AA19">
            <v>0</v>
          </cell>
          <cell r="AB19">
            <v>2614240473</v>
          </cell>
          <cell r="AC19">
            <v>2614240473</v>
          </cell>
          <cell r="AD19">
            <v>55884502.857142858</v>
          </cell>
        </row>
        <row r="20">
          <cell r="Z20" t="str">
            <v>11600-3-3-1</v>
          </cell>
          <cell r="AA20">
            <v>0</v>
          </cell>
          <cell r="AB20">
            <v>1024732093</v>
          </cell>
          <cell r="AC20">
            <v>1024732093</v>
          </cell>
          <cell r="AD20">
            <v>0</v>
          </cell>
        </row>
        <row r="21">
          <cell r="Z21" t="str">
            <v>11600-3-4-1</v>
          </cell>
          <cell r="AA21">
            <v>0</v>
          </cell>
          <cell r="AB21">
            <v>180000000</v>
          </cell>
          <cell r="AC21">
            <v>180000000</v>
          </cell>
          <cell r="AD21">
            <v>0</v>
          </cell>
        </row>
        <row r="22">
          <cell r="Z22" t="str">
            <v>11600-3-5-1</v>
          </cell>
          <cell r="AA22">
            <v>0</v>
          </cell>
          <cell r="AB22">
            <v>815594000</v>
          </cell>
          <cell r="AC22">
            <v>815594000</v>
          </cell>
          <cell r="AD22">
            <v>54431766.233766235</v>
          </cell>
        </row>
        <row r="23">
          <cell r="Z23" t="str">
            <v>11600-3-6-1</v>
          </cell>
          <cell r="AA23">
            <v>0</v>
          </cell>
          <cell r="AB23">
            <v>816000000</v>
          </cell>
          <cell r="AC23">
            <v>816000000</v>
          </cell>
          <cell r="AD23">
            <v>0</v>
          </cell>
        </row>
        <row r="24">
          <cell r="Z24" t="str">
            <v>11600-3-7-1</v>
          </cell>
          <cell r="AA24">
            <v>0</v>
          </cell>
          <cell r="AB24">
            <v>48960000</v>
          </cell>
          <cell r="AC24">
            <v>48960000</v>
          </cell>
          <cell r="AD24">
            <v>12240000</v>
          </cell>
        </row>
        <row r="25">
          <cell r="Z25" t="str">
            <v>11600-3-8-1</v>
          </cell>
          <cell r="AA25">
            <v>0</v>
          </cell>
          <cell r="AB25">
            <v>146880000</v>
          </cell>
          <cell r="AC25">
            <v>146880000</v>
          </cell>
          <cell r="AD25">
            <v>36720000</v>
          </cell>
        </row>
        <row r="26">
          <cell r="Z26" t="str">
            <v>11600-3-9-1</v>
          </cell>
          <cell r="AA26">
            <v>0</v>
          </cell>
          <cell r="AB26">
            <v>563496000</v>
          </cell>
          <cell r="AC26">
            <v>563496000</v>
          </cell>
          <cell r="AD26">
            <v>140874000</v>
          </cell>
        </row>
        <row r="27">
          <cell r="Z27" t="str">
            <v>11700-2-7-1</v>
          </cell>
          <cell r="AA27">
            <v>0</v>
          </cell>
          <cell r="AB27">
            <v>329126980</v>
          </cell>
          <cell r="AC27">
            <v>329126980</v>
          </cell>
          <cell r="AD27">
            <v>76281745</v>
          </cell>
        </row>
        <row r="28">
          <cell r="Z28" t="str">
            <v>11700-2-9-2</v>
          </cell>
          <cell r="AA28">
            <v>0</v>
          </cell>
          <cell r="AB28">
            <v>800000000</v>
          </cell>
          <cell r="AC28">
            <v>800000000</v>
          </cell>
          <cell r="AD28">
            <v>80000000</v>
          </cell>
        </row>
        <row r="29">
          <cell r="Z29" t="str">
            <v>11700-2-10-1</v>
          </cell>
          <cell r="AA29">
            <v>0</v>
          </cell>
          <cell r="AB29">
            <v>6000000</v>
          </cell>
          <cell r="AC29">
            <v>6000000</v>
          </cell>
          <cell r="AD29">
            <v>1090909.0909090908</v>
          </cell>
        </row>
        <row r="30">
          <cell r="Z30" t="str">
            <v>11700-2-11-1</v>
          </cell>
          <cell r="AA30">
            <v>0</v>
          </cell>
          <cell r="AB30">
            <v>139384920</v>
          </cell>
          <cell r="AC30">
            <v>139384920</v>
          </cell>
          <cell r="AD30">
            <v>19321230</v>
          </cell>
        </row>
        <row r="31">
          <cell r="Z31" t="str">
            <v>11700-2-12-1</v>
          </cell>
          <cell r="AA31">
            <v>0</v>
          </cell>
          <cell r="AB31">
            <v>58933468</v>
          </cell>
          <cell r="AC31">
            <v>58933468</v>
          </cell>
          <cell r="AD31">
            <v>13940000</v>
          </cell>
        </row>
        <row r="32">
          <cell r="Z32" t="str">
            <v>11700-2-12-2</v>
          </cell>
          <cell r="AA32">
            <v>0</v>
          </cell>
          <cell r="AB32">
            <v>34906936</v>
          </cell>
          <cell r="AC32">
            <v>34906936</v>
          </cell>
          <cell r="AD32">
            <v>6970101</v>
          </cell>
        </row>
        <row r="33">
          <cell r="Z33" t="str">
            <v>11700-2-13-1</v>
          </cell>
          <cell r="AA33">
            <v>0</v>
          </cell>
          <cell r="AB33">
            <v>60000000</v>
          </cell>
          <cell r="AC33">
            <v>60000000</v>
          </cell>
          <cell r="AD33">
            <v>10909090.909090908</v>
          </cell>
        </row>
        <row r="34">
          <cell r="Z34" t="str">
            <v>11700-2-14-1</v>
          </cell>
          <cell r="AA34">
            <v>0</v>
          </cell>
          <cell r="AB34">
            <v>2468609473</v>
          </cell>
          <cell r="AC34">
            <v>2468609473</v>
          </cell>
          <cell r="AD34">
            <v>5709090.9090909092</v>
          </cell>
        </row>
        <row r="35">
          <cell r="Z35" t="str">
            <v>11700-2-15-1</v>
          </cell>
          <cell r="AA35">
            <v>0</v>
          </cell>
          <cell r="AB35">
            <v>150000000</v>
          </cell>
          <cell r="AC35">
            <v>150000000</v>
          </cell>
          <cell r="AD35">
            <v>0</v>
          </cell>
        </row>
        <row r="36">
          <cell r="Z36" t="str">
            <v>11700-2-16-1</v>
          </cell>
          <cell r="AA36">
            <v>0</v>
          </cell>
          <cell r="AB36">
            <v>497391434</v>
          </cell>
          <cell r="AC36">
            <v>497391434</v>
          </cell>
          <cell r="AD36">
            <v>0</v>
          </cell>
        </row>
        <row r="37">
          <cell r="Z37" t="str">
            <v>11700-2-17-1</v>
          </cell>
          <cell r="AA37">
            <v>0</v>
          </cell>
          <cell r="AB37">
            <v>561418987.5</v>
          </cell>
          <cell r="AC37">
            <v>561418987.5</v>
          </cell>
          <cell r="AD37">
            <v>112500000</v>
          </cell>
        </row>
        <row r="38">
          <cell r="Z38" t="str">
            <v>11700-2-17-2</v>
          </cell>
          <cell r="AA38">
            <v>0</v>
          </cell>
          <cell r="AB38">
            <v>32640000</v>
          </cell>
          <cell r="AC38">
            <v>32640000</v>
          </cell>
          <cell r="AD38">
            <v>32640000</v>
          </cell>
        </row>
        <row r="39">
          <cell r="Z39" t="str">
            <v>11900-3-1-1</v>
          </cell>
          <cell r="AA39">
            <v>0</v>
          </cell>
          <cell r="AB39">
            <v>307607868</v>
          </cell>
          <cell r="AC39">
            <v>307607868</v>
          </cell>
          <cell r="AD39">
            <v>76901967</v>
          </cell>
        </row>
        <row r="40">
          <cell r="Z40" t="str">
            <v>11900-3-2-1</v>
          </cell>
          <cell r="AA40">
            <v>0</v>
          </cell>
          <cell r="AB40">
            <v>739005208</v>
          </cell>
          <cell r="AC40">
            <v>739005208</v>
          </cell>
          <cell r="AD40">
            <v>199041219</v>
          </cell>
        </row>
        <row r="41">
          <cell r="Z41" t="str">
            <v>11900-3-4-1</v>
          </cell>
          <cell r="AA41">
            <v>0</v>
          </cell>
          <cell r="AB41">
            <v>387129875</v>
          </cell>
          <cell r="AC41">
            <v>387129875</v>
          </cell>
          <cell r="AD41">
            <v>41705585.172727272</v>
          </cell>
        </row>
        <row r="42">
          <cell r="Z42" t="str">
            <v>11900-3-5-1</v>
          </cell>
          <cell r="AA42">
            <v>0</v>
          </cell>
          <cell r="AB42">
            <v>41933468</v>
          </cell>
          <cell r="AC42">
            <v>41933468</v>
          </cell>
          <cell r="AD42">
            <v>12240000</v>
          </cell>
        </row>
        <row r="43">
          <cell r="Z43" t="str">
            <v>11900-3-6-1</v>
          </cell>
          <cell r="AA43">
            <v>0</v>
          </cell>
          <cell r="AB43">
            <v>102124884</v>
          </cell>
          <cell r="AC43">
            <v>102124884</v>
          </cell>
          <cell r="AD43">
            <v>25531221</v>
          </cell>
        </row>
        <row r="44">
          <cell r="Z44" t="str">
            <v>11900-3-7-1</v>
          </cell>
          <cell r="AA44">
            <v>0</v>
          </cell>
          <cell r="AB44">
            <v>44736724</v>
          </cell>
          <cell r="AC44">
            <v>44736724</v>
          </cell>
          <cell r="AD44">
            <v>13291221</v>
          </cell>
        </row>
        <row r="45">
          <cell r="Z45" t="str">
            <v>11900-3-9-1</v>
          </cell>
          <cell r="AA45">
            <v>0</v>
          </cell>
          <cell r="AB45">
            <v>542477052</v>
          </cell>
          <cell r="AC45">
            <v>542477052</v>
          </cell>
          <cell r="AD45">
            <v>64369263</v>
          </cell>
        </row>
        <row r="46">
          <cell r="Z46" t="str">
            <v>11900-3-10-3</v>
          </cell>
          <cell r="AA46">
            <v>0</v>
          </cell>
          <cell r="AB46">
            <v>37173872</v>
          </cell>
          <cell r="AC46">
            <v>37173872</v>
          </cell>
          <cell r="AD46">
            <v>13940202</v>
          </cell>
        </row>
        <row r="47">
          <cell r="Z47" t="str">
            <v>12000-2-2-1</v>
          </cell>
          <cell r="AA47">
            <v>0</v>
          </cell>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48960000</v>
          </cell>
          <cell r="AC16">
            <v>48960000</v>
          </cell>
          <cell r="AD16">
            <v>12240000</v>
          </cell>
          <cell r="AE16">
            <v>12240000</v>
          </cell>
          <cell r="AF16">
            <v>12240000</v>
          </cell>
          <cell r="AG16">
            <v>12240000</v>
          </cell>
        </row>
        <row r="17">
          <cell r="Z17" t="str">
            <v>11500-3-3-1</v>
          </cell>
          <cell r="AA17">
            <v>0</v>
          </cell>
          <cell r="AB17">
            <v>195840000</v>
          </cell>
          <cell r="AC17">
            <v>195840000</v>
          </cell>
          <cell r="AD17">
            <v>48960000</v>
          </cell>
          <cell r="AE17">
            <v>48960000</v>
          </cell>
          <cell r="AF17">
            <v>48960000</v>
          </cell>
          <cell r="AG17">
            <v>48960000</v>
          </cell>
        </row>
        <row r="18">
          <cell r="Z18" t="str">
            <v>11500-3-6-1</v>
          </cell>
          <cell r="AA18">
            <v>0</v>
          </cell>
          <cell r="AB18">
            <v>30882027540</v>
          </cell>
          <cell r="AC18">
            <v>30882027540</v>
          </cell>
          <cell r="AD18">
            <v>0</v>
          </cell>
          <cell r="AE18">
            <v>7720506885</v>
          </cell>
          <cell r="AF18">
            <v>11580760327.5</v>
          </cell>
          <cell r="AG18">
            <v>11580760327.5</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11700-2-7-1</v>
          </cell>
          <cell r="AA27">
            <v>0</v>
          </cell>
          <cell r="AB27">
            <v>329126980</v>
          </cell>
          <cell r="AC27">
            <v>329126980</v>
          </cell>
          <cell r="AD27">
            <v>76281745</v>
          </cell>
          <cell r="AE27">
            <v>84281745</v>
          </cell>
          <cell r="AF27">
            <v>84281745</v>
          </cell>
          <cell r="AG27">
            <v>84281745</v>
          </cell>
        </row>
        <row r="28">
          <cell r="Z28" t="str">
            <v>11700-2-9-2</v>
          </cell>
          <cell r="AA28">
            <v>0</v>
          </cell>
          <cell r="AB28">
            <v>800000000</v>
          </cell>
          <cell r="AC28">
            <v>800000000</v>
          </cell>
          <cell r="AD28">
            <v>80000000</v>
          </cell>
          <cell r="AE28">
            <v>240000000</v>
          </cell>
          <cell r="AF28">
            <v>240000000</v>
          </cell>
          <cell r="AG28">
            <v>240000000</v>
          </cell>
        </row>
        <row r="29">
          <cell r="Z29" t="str">
            <v>11700-2-10-1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139384920</v>
          </cell>
          <cell r="AC30">
            <v>139384920</v>
          </cell>
          <cell r="AD30">
            <v>19321230</v>
          </cell>
          <cell r="AE30">
            <v>19321230</v>
          </cell>
          <cell r="AF30">
            <v>19321230</v>
          </cell>
          <cell r="AG30">
            <v>81421230</v>
          </cell>
        </row>
        <row r="31">
          <cell r="Z31" t="str">
            <v>11700-2-12-1</v>
          </cell>
          <cell r="AA31">
            <v>0</v>
          </cell>
          <cell r="AB31">
            <v>58933468</v>
          </cell>
          <cell r="AC31">
            <v>58933468</v>
          </cell>
          <cell r="AD31">
            <v>13940000</v>
          </cell>
          <cell r="AE31">
            <v>17340000</v>
          </cell>
          <cell r="AF31">
            <v>15583367</v>
          </cell>
          <cell r="AG31">
            <v>12070101</v>
          </cell>
        </row>
        <row r="32">
          <cell r="Z32" t="str">
            <v>11700-2-12-2</v>
          </cell>
          <cell r="AA32">
            <v>0</v>
          </cell>
          <cell r="AB32">
            <v>34906936</v>
          </cell>
          <cell r="AC32">
            <v>34906936</v>
          </cell>
          <cell r="AD32">
            <v>6970101</v>
          </cell>
          <cell r="AE32">
            <v>6970101</v>
          </cell>
          <cell r="AF32">
            <v>8726734</v>
          </cell>
          <cell r="AG32">
            <v>12240000</v>
          </cell>
        </row>
        <row r="33">
          <cell r="Z33" t="str">
            <v>11700-2-13-1</v>
          </cell>
          <cell r="AA33">
            <v>0</v>
          </cell>
          <cell r="AB33">
            <v>60000000</v>
          </cell>
          <cell r="AC33">
            <v>60000000</v>
          </cell>
          <cell r="AD33">
            <v>10909090.909090908</v>
          </cell>
          <cell r="AE33">
            <v>16363636.363636363</v>
          </cell>
          <cell r="AF33">
            <v>16363636.363636363</v>
          </cell>
          <cell r="AG33">
            <v>16363636.363636363</v>
          </cell>
        </row>
        <row r="34">
          <cell r="Z34" t="str">
            <v>11700-2-14-1</v>
          </cell>
          <cell r="AA34">
            <v>0</v>
          </cell>
          <cell r="AB34">
            <v>2468609473</v>
          </cell>
          <cell r="AC34">
            <v>2468609473</v>
          </cell>
          <cell r="AD34">
            <v>5709090.9090909092</v>
          </cell>
          <cell r="AE34">
            <v>5563636.3636363633</v>
          </cell>
          <cell r="AF34">
            <v>1097359970.2636366</v>
          </cell>
          <cell r="AG34">
            <v>1359976775.4636364</v>
          </cell>
        </row>
        <row r="35">
          <cell r="Z35" t="str">
            <v>11700-2-15-1</v>
          </cell>
          <cell r="AA35">
            <v>0</v>
          </cell>
          <cell r="AB35">
            <v>150000000</v>
          </cell>
          <cell r="AC35">
            <v>150000000</v>
          </cell>
          <cell r="AD35">
            <v>0</v>
          </cell>
          <cell r="AE35">
            <v>0</v>
          </cell>
          <cell r="AF35">
            <v>60000000</v>
          </cell>
          <cell r="AG35">
            <v>90000000</v>
          </cell>
        </row>
        <row r="36">
          <cell r="Z36" t="str">
            <v>11700-2-16-1</v>
          </cell>
          <cell r="AA36">
            <v>0</v>
          </cell>
          <cell r="AB36">
            <v>497391434</v>
          </cell>
          <cell r="AC36">
            <v>497391434</v>
          </cell>
          <cell r="AD36">
            <v>0</v>
          </cell>
          <cell r="AE36">
            <v>0</v>
          </cell>
          <cell r="AF36">
            <v>248695717</v>
          </cell>
          <cell r="AG36">
            <v>248695717</v>
          </cell>
        </row>
        <row r="37">
          <cell r="Z37" t="str">
            <v>11700-2-17-1</v>
          </cell>
          <cell r="AA37">
            <v>0</v>
          </cell>
          <cell r="AB37">
            <v>561418987.5</v>
          </cell>
          <cell r="AC37">
            <v>561418987.5</v>
          </cell>
          <cell r="AD37">
            <v>112500000</v>
          </cell>
          <cell r="AE37">
            <v>112500000</v>
          </cell>
          <cell r="AF37">
            <v>174671595</v>
          </cell>
          <cell r="AG37">
            <v>161747392.5</v>
          </cell>
        </row>
        <row r="38">
          <cell r="Z38" t="str">
            <v>11700-2-17-2</v>
          </cell>
          <cell r="AA38">
            <v>0</v>
          </cell>
          <cell r="AB38">
            <v>32640000</v>
          </cell>
          <cell r="AC38">
            <v>32640000</v>
          </cell>
          <cell r="AD38">
            <v>32640000</v>
          </cell>
          <cell r="AE38">
            <v>0</v>
          </cell>
          <cell r="AF38">
            <v>0</v>
          </cell>
          <cell r="AG38">
            <v>0</v>
          </cell>
        </row>
        <row r="39">
          <cell r="Z39" t="str">
            <v>11900-3-1-1</v>
          </cell>
          <cell r="AA39">
            <v>0</v>
          </cell>
          <cell r="AB39">
            <v>307607868</v>
          </cell>
          <cell r="AC39">
            <v>307607868</v>
          </cell>
          <cell r="AD39">
            <v>76901967</v>
          </cell>
          <cell r="AE39">
            <v>76901967</v>
          </cell>
          <cell r="AF39">
            <v>76901967</v>
          </cell>
          <cell r="AG39">
            <v>76901967</v>
          </cell>
        </row>
        <row r="40">
          <cell r="Z40" t="str">
            <v>11900-3-2-1</v>
          </cell>
          <cell r="AA40">
            <v>0</v>
          </cell>
          <cell r="AB40">
            <v>739005208</v>
          </cell>
          <cell r="AC40">
            <v>739005208</v>
          </cell>
          <cell r="AD40">
            <v>199041219</v>
          </cell>
          <cell r="AE40">
            <v>199041219</v>
          </cell>
          <cell r="AF40">
            <v>184751302</v>
          </cell>
          <cell r="AG40">
            <v>156171468</v>
          </cell>
        </row>
        <row r="41">
          <cell r="Z41" t="str">
            <v>11900-3-4-1</v>
          </cell>
          <cell r="AA41">
            <v>0</v>
          </cell>
          <cell r="AB41">
            <v>387129875</v>
          </cell>
          <cell r="AC41">
            <v>387129875</v>
          </cell>
          <cell r="AD41">
            <v>41705585.172727272</v>
          </cell>
          <cell r="AE41">
            <v>84207664.609090909</v>
          </cell>
          <cell r="AF41">
            <v>107407988.60909091</v>
          </cell>
          <cell r="AG41">
            <v>153808636.60909092</v>
          </cell>
        </row>
        <row r="42">
          <cell r="Z42" t="str">
            <v>11900-3-5-1</v>
          </cell>
          <cell r="AA42">
            <v>0</v>
          </cell>
          <cell r="AB42">
            <v>41933468</v>
          </cell>
          <cell r="AC42">
            <v>41933468</v>
          </cell>
          <cell r="AD42">
            <v>12240000</v>
          </cell>
          <cell r="AE42">
            <v>12240000</v>
          </cell>
          <cell r="AF42">
            <v>10483367</v>
          </cell>
          <cell r="AG42">
            <v>6970101</v>
          </cell>
        </row>
        <row r="43">
          <cell r="Z43" t="str">
            <v>11900-3-6-1</v>
          </cell>
          <cell r="AA43">
            <v>0</v>
          </cell>
          <cell r="AB43">
            <v>102124884</v>
          </cell>
          <cell r="AC43">
            <v>102124884</v>
          </cell>
          <cell r="AD43">
            <v>25531221</v>
          </cell>
          <cell r="AE43">
            <v>25531221</v>
          </cell>
          <cell r="AF43">
            <v>25531221</v>
          </cell>
          <cell r="AG43">
            <v>25531221</v>
          </cell>
        </row>
        <row r="44">
          <cell r="Z44" t="str">
            <v>11900-3-7-1</v>
          </cell>
          <cell r="AA44">
            <v>0</v>
          </cell>
          <cell r="AB44">
            <v>44736724</v>
          </cell>
          <cell r="AC44">
            <v>44736724</v>
          </cell>
          <cell r="AD44">
            <v>13291221</v>
          </cell>
          <cell r="AE44">
            <v>13291221</v>
          </cell>
          <cell r="AF44">
            <v>11184181</v>
          </cell>
          <cell r="AG44">
            <v>6970101</v>
          </cell>
        </row>
        <row r="45">
          <cell r="Z45" t="str">
            <v>11900-3-9-1</v>
          </cell>
          <cell r="AA45">
            <v>0</v>
          </cell>
          <cell r="AB45">
            <v>542477052</v>
          </cell>
          <cell r="AC45">
            <v>542477052</v>
          </cell>
          <cell r="AD45">
            <v>64369263</v>
          </cell>
          <cell r="AE45">
            <v>64369263</v>
          </cell>
          <cell r="AF45">
            <v>135619263</v>
          </cell>
          <cell r="AG45">
            <v>278119263</v>
          </cell>
        </row>
        <row r="46">
          <cell r="Z46" t="str">
            <v>11900-3-10-3</v>
          </cell>
          <cell r="AA46">
            <v>0</v>
          </cell>
          <cell r="AB46">
            <v>37173872</v>
          </cell>
          <cell r="AC46">
            <v>37173872</v>
          </cell>
          <cell r="AD46">
            <v>13940202</v>
          </cell>
          <cell r="AE46">
            <v>13940202</v>
          </cell>
          <cell r="AF46">
            <v>9293468</v>
          </cell>
          <cell r="AG46">
            <v>0</v>
          </cell>
        </row>
        <row r="47">
          <cell r="Z47" t="str">
            <v>12000-2-2-1</v>
          </cell>
          <cell r="AA47">
            <v>0</v>
          </cell>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ANDRES VARON VILLAREAL" refreshedDate="43129.535882870368" createdVersion="6" refreshedVersion="6" minRefreshableVersion="3" recordCount="194" xr:uid="{00000000-000A-0000-FFFF-FFFF03000000}">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dres.gov.co/Portals/0/manuales/GERC-C01%20Manual%20Operativo_Contabilidad_DGRFS.PDF?ver=2018-02-08-072450-163"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5" x14ac:dyDescent="0.25"/>
  <cols>
    <col min="2" max="2" width="35.5703125" customWidth="1"/>
    <col min="3" max="3" width="16.5703125" customWidth="1"/>
    <col min="4" max="4" width="40.5703125" customWidth="1"/>
    <col min="5" max="5" width="12.85546875" bestFit="1" customWidth="1"/>
    <col min="6" max="6" width="35.7109375" customWidth="1"/>
    <col min="7" max="7" width="12.85546875" style="14" bestFit="1" customWidth="1"/>
    <col min="8" max="8" width="12.140625" bestFit="1" customWidth="1"/>
    <col min="9" max="9" width="14.5703125" bestFit="1" customWidth="1"/>
    <col min="10" max="10" width="35.7109375" customWidth="1"/>
    <col min="11" max="11" width="26.85546875" customWidth="1"/>
    <col min="12" max="12" width="11.42578125" customWidth="1"/>
    <col min="13" max="13" width="21.42578125" customWidth="1"/>
    <col min="14" max="15" width="18.140625" customWidth="1"/>
    <col min="16" max="16" width="20.140625" customWidth="1"/>
    <col min="17" max="17" width="19.140625" customWidth="1"/>
    <col min="18" max="18" width="14.5703125" customWidth="1"/>
    <col min="19" max="19" width="17.5703125" customWidth="1"/>
    <col min="20" max="20" width="21.5703125" customWidth="1"/>
    <col min="21" max="21" width="12.140625" bestFit="1" customWidth="1"/>
    <col min="22" max="22" width="29.42578125" customWidth="1"/>
    <col min="23" max="23" width="25" customWidth="1"/>
    <col min="24" max="24" width="21.140625" bestFit="1" customWidth="1"/>
    <col min="25" max="25" width="12.140625" bestFit="1" customWidth="1"/>
    <col min="26" max="26" width="26.85546875" customWidth="1"/>
    <col min="27" max="27" width="24.85546875" customWidth="1"/>
    <col min="28" max="28" width="12.140625" bestFit="1" customWidth="1"/>
    <col min="29" max="29" width="24.5703125" customWidth="1"/>
    <col min="30" max="30" width="9.140625" customWidth="1"/>
    <col min="31" max="31" width="14" bestFit="1" customWidth="1"/>
    <col min="32" max="32" width="8.42578125" customWidth="1"/>
    <col min="33" max="33" width="14" bestFit="1" customWidth="1"/>
    <col min="34" max="34" width="12.140625" bestFit="1" customWidth="1"/>
    <col min="35" max="35" width="26.85546875" customWidth="1"/>
    <col min="36" max="36" width="24.85546875" customWidth="1"/>
    <col min="37" max="37" width="12.140625" bestFit="1" customWidth="1"/>
    <col min="38" max="38" width="24.85546875" customWidth="1"/>
    <col min="39" max="39" width="8.42578125" customWidth="1"/>
    <col min="40" max="40" width="14" bestFit="1" customWidth="1"/>
    <col min="41" max="41" width="8.7109375" bestFit="1" customWidth="1"/>
    <col min="42" max="42" width="14" bestFit="1" customWidth="1"/>
    <col min="43" max="43" width="12.140625" bestFit="1" customWidth="1"/>
    <col min="44" max="44" width="26.85546875" customWidth="1"/>
    <col min="45" max="45" width="24.85546875" customWidth="1"/>
    <col min="46" max="46" width="12.140625" bestFit="1" customWidth="1"/>
    <col min="47" max="47" width="24.85546875" customWidth="1"/>
    <col min="48" max="48" width="8.42578125" customWidth="1"/>
    <col min="49" max="49" width="14" bestFit="1" customWidth="1"/>
    <col min="50" max="50" width="8.42578125" bestFit="1" customWidth="1"/>
    <col min="51" max="51" width="14" bestFit="1" customWidth="1"/>
    <col min="52" max="52" width="12.140625" bestFit="1" customWidth="1"/>
    <col min="53" max="53" width="26.85546875" customWidth="1"/>
    <col min="54" max="54" width="24.85546875" customWidth="1"/>
    <col min="55" max="55" width="12.140625" bestFit="1" customWidth="1"/>
    <col min="56" max="56" width="24.85546875" customWidth="1"/>
    <col min="57" max="57" width="9.140625" bestFit="1" customWidth="1"/>
    <col min="58" max="58" width="14" bestFit="1" customWidth="1"/>
    <col min="59" max="59" width="8.42578125" bestFit="1" customWidth="1"/>
    <col min="60" max="60" width="14" bestFit="1" customWidth="1"/>
    <col min="61" max="62" width="11.140625" customWidth="1"/>
    <col min="69" max="69" width="54" customWidth="1"/>
  </cols>
  <sheetData>
    <row r="2" spans="1:69" x14ac:dyDescent="0.25">
      <c r="D2" s="933" t="s">
        <v>126</v>
      </c>
      <c r="E2" s="933"/>
      <c r="F2" s="933"/>
      <c r="G2" s="933"/>
      <c r="H2" s="933"/>
      <c r="I2" s="933"/>
      <c r="J2" s="933"/>
      <c r="K2" s="933"/>
      <c r="L2" s="933"/>
      <c r="M2" s="933"/>
    </row>
    <row r="3" spans="1:69" x14ac:dyDescent="0.25">
      <c r="D3" s="933" t="s">
        <v>125</v>
      </c>
      <c r="E3" s="933"/>
      <c r="F3" s="933"/>
      <c r="G3" s="933"/>
      <c r="H3" s="933"/>
      <c r="I3" s="933"/>
      <c r="J3" s="933"/>
      <c r="K3" s="933"/>
      <c r="L3" s="933"/>
      <c r="M3" s="933"/>
      <c r="BI3" s="4"/>
    </row>
    <row r="4" spans="1:69" x14ac:dyDescent="0.25">
      <c r="D4" s="933" t="s">
        <v>140</v>
      </c>
      <c r="E4" s="933"/>
      <c r="F4" s="933"/>
      <c r="G4" s="933"/>
      <c r="H4" s="933"/>
      <c r="I4" s="933"/>
      <c r="J4" s="933"/>
      <c r="K4" s="933"/>
      <c r="L4" s="933"/>
      <c r="M4" s="933"/>
      <c r="N4" s="48"/>
    </row>
    <row r="5" spans="1:69" x14ac:dyDescent="0.25">
      <c r="K5" s="20"/>
      <c r="M5" s="20"/>
    </row>
    <row r="6" spans="1:69" ht="15" customHeight="1" x14ac:dyDescent="0.25">
      <c r="Y6" s="934" t="s">
        <v>8</v>
      </c>
      <c r="Z6" s="934"/>
      <c r="AA6" s="934"/>
      <c r="AB6" s="934"/>
      <c r="AC6" s="934"/>
      <c r="AD6" s="934"/>
      <c r="AE6" s="934"/>
      <c r="AF6" s="934" t="s">
        <v>7</v>
      </c>
      <c r="AG6" s="934"/>
      <c r="AH6" s="936" t="s">
        <v>9</v>
      </c>
      <c r="AI6" s="936"/>
      <c r="AJ6" s="936"/>
      <c r="AK6" s="936"/>
      <c r="AL6" s="936"/>
      <c r="AM6" s="936"/>
      <c r="AN6" s="936"/>
      <c r="AO6" s="936" t="s">
        <v>7</v>
      </c>
      <c r="AP6" s="936"/>
      <c r="AQ6" s="934" t="s">
        <v>10</v>
      </c>
      <c r="AR6" s="934"/>
      <c r="AS6" s="934"/>
      <c r="AT6" s="934"/>
      <c r="AU6" s="934"/>
      <c r="AV6" s="934"/>
      <c r="AW6" s="934"/>
      <c r="AX6" s="934" t="s">
        <v>7</v>
      </c>
      <c r="AY6" s="934"/>
      <c r="AZ6" s="936" t="s">
        <v>11</v>
      </c>
      <c r="BA6" s="936"/>
      <c r="BB6" s="936"/>
      <c r="BC6" s="936"/>
      <c r="BD6" s="936"/>
      <c r="BE6" s="936"/>
      <c r="BF6" s="936"/>
      <c r="BG6" s="936" t="s">
        <v>7</v>
      </c>
      <c r="BH6" s="936"/>
      <c r="BI6" s="937" t="s">
        <v>118</v>
      </c>
      <c r="BJ6" s="938"/>
      <c r="BK6" s="938"/>
      <c r="BL6" s="938"/>
      <c r="BM6" s="938"/>
      <c r="BN6" s="938"/>
      <c r="BO6" s="938"/>
      <c r="BP6" s="938"/>
    </row>
    <row r="7" spans="1:69" ht="23.25" customHeight="1" x14ac:dyDescent="0.25">
      <c r="A7" s="11"/>
      <c r="B7" s="11"/>
      <c r="U7" s="935" t="s">
        <v>129</v>
      </c>
      <c r="V7" s="936"/>
      <c r="W7" s="936"/>
      <c r="X7" s="936"/>
      <c r="Y7" s="934" t="s">
        <v>130</v>
      </c>
      <c r="Z7" s="934"/>
      <c r="AA7" s="934"/>
      <c r="AB7" s="934" t="s">
        <v>18</v>
      </c>
      <c r="AC7" s="934"/>
      <c r="AD7" s="934" t="s">
        <v>19</v>
      </c>
      <c r="AE7" s="934"/>
      <c r="AF7" s="934"/>
      <c r="AG7" s="934"/>
      <c r="AH7" s="936" t="s">
        <v>130</v>
      </c>
      <c r="AI7" s="936"/>
      <c r="AJ7" s="936"/>
      <c r="AK7" s="936" t="s">
        <v>18</v>
      </c>
      <c r="AL7" s="936"/>
      <c r="AM7" s="936" t="s">
        <v>19</v>
      </c>
      <c r="AN7" s="936"/>
      <c r="AO7" s="936"/>
      <c r="AP7" s="936"/>
      <c r="AQ7" s="934" t="s">
        <v>130</v>
      </c>
      <c r="AR7" s="934"/>
      <c r="AS7" s="934"/>
      <c r="AT7" s="934" t="s">
        <v>18</v>
      </c>
      <c r="AU7" s="934"/>
      <c r="AV7" s="934" t="s">
        <v>19</v>
      </c>
      <c r="AW7" s="934"/>
      <c r="AX7" s="934"/>
      <c r="AY7" s="934"/>
      <c r="AZ7" s="936" t="s">
        <v>130</v>
      </c>
      <c r="BA7" s="936"/>
      <c r="BB7" s="936"/>
      <c r="BC7" s="936" t="s">
        <v>18</v>
      </c>
      <c r="BD7" s="936"/>
      <c r="BE7" s="936" t="s">
        <v>19</v>
      </c>
      <c r="BF7" s="936"/>
      <c r="BG7" s="936"/>
      <c r="BH7" s="936"/>
      <c r="BI7" s="939" t="s">
        <v>8</v>
      </c>
      <c r="BJ7" s="939"/>
      <c r="BK7" s="939" t="s">
        <v>9</v>
      </c>
      <c r="BL7" s="939"/>
      <c r="BM7" s="939" t="s">
        <v>10</v>
      </c>
      <c r="BN7" s="939"/>
      <c r="BO7" s="939" t="s">
        <v>11</v>
      </c>
      <c r="BP7" s="939"/>
    </row>
    <row r="8" spans="1:69" ht="46.5" customHeight="1" x14ac:dyDescent="0.25">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5" x14ac:dyDescent="0.25">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105" x14ac:dyDescent="0.25">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5" x14ac:dyDescent="0.25">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5" x14ac:dyDescent="0.25">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5" x14ac:dyDescent="0.25">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5" x14ac:dyDescent="0.25">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5" x14ac:dyDescent="0.25">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5" x14ac:dyDescent="0.25">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5" x14ac:dyDescent="0.25">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5" x14ac:dyDescent="0.25">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5" x14ac:dyDescent="0.25">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5" x14ac:dyDescent="0.25">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5" x14ac:dyDescent="0.25">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5" x14ac:dyDescent="0.25">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5" x14ac:dyDescent="0.25">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5" x14ac:dyDescent="0.25">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5" x14ac:dyDescent="0.25">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5" x14ac:dyDescent="0.25">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5" x14ac:dyDescent="0.25">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5" x14ac:dyDescent="0.25">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5" x14ac:dyDescent="0.25">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5" x14ac:dyDescent="0.25">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5" x14ac:dyDescent="0.25">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5" x14ac:dyDescent="0.25">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5" x14ac:dyDescent="0.25">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5" x14ac:dyDescent="0.25">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5" x14ac:dyDescent="0.25">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5" x14ac:dyDescent="0.25">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5" x14ac:dyDescent="0.25">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20" x14ac:dyDescent="0.25">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5" x14ac:dyDescent="0.25">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5" x14ac:dyDescent="0.25">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5" x14ac:dyDescent="0.25">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5" x14ac:dyDescent="0.25">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5" x14ac:dyDescent="0.25">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5" x14ac:dyDescent="0.25">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5" x14ac:dyDescent="0.25">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5" x14ac:dyDescent="0.25">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5" x14ac:dyDescent="0.25">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5" x14ac:dyDescent="0.25">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5" x14ac:dyDescent="0.25">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5" x14ac:dyDescent="0.25">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20" x14ac:dyDescent="0.25">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20" x14ac:dyDescent="0.25">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5" x14ac:dyDescent="0.25">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20" x14ac:dyDescent="0.25">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25">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5" x14ac:dyDescent="0.25">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90" x14ac:dyDescent="0.25">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20" x14ac:dyDescent="0.25">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20" x14ac:dyDescent="0.25">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20" x14ac:dyDescent="0.25">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20" x14ac:dyDescent="0.25">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5" x14ac:dyDescent="0.25">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5" x14ac:dyDescent="0.25">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5" x14ac:dyDescent="0.25">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5" x14ac:dyDescent="0.25">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5" x14ac:dyDescent="0.25">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65" x14ac:dyDescent="0.25">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5" x14ac:dyDescent="0.25">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25">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5" x14ac:dyDescent="0.25">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5" x14ac:dyDescent="0.25">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50" x14ac:dyDescent="0.25">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5" x14ac:dyDescent="0.25">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5" x14ac:dyDescent="0.25">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131"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5" x14ac:dyDescent="0.25">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5" x14ac:dyDescent="0.25">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75" x14ac:dyDescent="0.25">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50" x14ac:dyDescent="0.25">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10" x14ac:dyDescent="0.25">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90" x14ac:dyDescent="0.25">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25">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90" x14ac:dyDescent="0.25">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75" x14ac:dyDescent="0.25">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75" x14ac:dyDescent="0.25">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75" x14ac:dyDescent="0.25">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75" x14ac:dyDescent="0.25">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5" x14ac:dyDescent="0.25">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5" x14ac:dyDescent="0.25">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105" x14ac:dyDescent="0.25">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 t="shared" ref="W89" si="49">+K89</f>
        <v>27749428000</v>
      </c>
      <c r="X89" s="34" t="s">
        <v>114</v>
      </c>
      <c r="Y89" s="40">
        <v>0.25</v>
      </c>
      <c r="Z89" s="35" t="str">
        <f>+$J$89</f>
        <v>Efectuar los tramites asociados al pago de nomina de los funcionarios de la ADRES</v>
      </c>
      <c r="AA89" s="39">
        <v>6937357000</v>
      </c>
      <c r="AB89" s="42"/>
      <c r="AC89" s="42"/>
      <c r="AD89" s="40">
        <f>+(AB89/Y89)</f>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105" x14ac:dyDescent="0.25">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50">+(AB90/Y90)</f>
        <v>0</v>
      </c>
      <c r="AE90" s="40" t="e">
        <f t="shared" ref="AE90:AE104" si="51">+(AC90/AA90)</f>
        <v>#DIV/0!</v>
      </c>
      <c r="AF90" s="40">
        <f t="shared" ref="AF90:AF104" si="52">+(AB90/U90)</f>
        <v>0</v>
      </c>
      <c r="AG90" s="40" t="e">
        <f t="shared" ref="AG90:AG104" si="53">+(AC90/W90)</f>
        <v>#DIV/0!</v>
      </c>
      <c r="AH90" s="39">
        <v>3</v>
      </c>
      <c r="AI90" s="35" t="str">
        <f>+$J$90</f>
        <v>Seguimiento a la ejecución presupuestal, PAC y Reservas</v>
      </c>
      <c r="AJ90" s="39">
        <v>0</v>
      </c>
      <c r="AK90" s="42"/>
      <c r="AL90" s="42"/>
      <c r="AM90" s="40">
        <f t="shared" ref="AM90:AM104" si="54">+(AK90/AH90)</f>
        <v>0</v>
      </c>
      <c r="AN90" s="40" t="e">
        <f t="shared" ref="AN90:AN104" si="55">+(AL90/AJ90)</f>
        <v>#DIV/0!</v>
      </c>
      <c r="AO90" s="40">
        <f t="shared" ref="AO90:AO104" si="56">+(AK90+AB90)/U90</f>
        <v>0</v>
      </c>
      <c r="AP90" s="43" t="e">
        <f t="shared" ref="AP90:AP104" si="57">+(AL90+AC90)/W90</f>
        <v>#DIV/0!</v>
      </c>
      <c r="AQ90" s="39">
        <v>3</v>
      </c>
      <c r="AR90" s="35" t="str">
        <f>+$J$90</f>
        <v>Seguimiento a la ejecución presupuestal, PAC y Reservas</v>
      </c>
      <c r="AS90" s="39">
        <v>0</v>
      </c>
      <c r="AT90" s="42"/>
      <c r="AU90" s="42"/>
      <c r="AV90" s="40">
        <f t="shared" ref="AV90:AV104" si="58">+(AT90/AQ90)</f>
        <v>0</v>
      </c>
      <c r="AW90" s="40" t="e">
        <f t="shared" ref="AW90:AW104" si="59">+(AU90/AS90)</f>
        <v>#DIV/0!</v>
      </c>
      <c r="AX90" s="40">
        <f t="shared" ref="AX90:AX104" si="60">+(AK90+AB90+AT90)/U90</f>
        <v>0</v>
      </c>
      <c r="AY90" s="40" t="e">
        <f t="shared" ref="AY90:AY104" si="61">+(AL90+AC90+AU90)/W90</f>
        <v>#DIV/0!</v>
      </c>
      <c r="AZ90" s="39">
        <v>3</v>
      </c>
      <c r="BA90" s="35" t="str">
        <f>+$J$90</f>
        <v>Seguimiento a la ejecución presupuestal, PAC y Reservas</v>
      </c>
      <c r="BB90" s="39">
        <v>0</v>
      </c>
      <c r="BC90" s="42"/>
      <c r="BD90" s="42"/>
      <c r="BE90" s="40">
        <f t="shared" ref="BE90:BE104" si="62">+(BC90/AZ90)</f>
        <v>0</v>
      </c>
      <c r="BF90" s="40" t="e">
        <f t="shared" ref="BF90:BF104" si="63">+(BD90/BB90)</f>
        <v>#DIV/0!</v>
      </c>
      <c r="BG90" s="40">
        <f t="shared" ref="BG90:BG104" si="64">+(AK90+AB90+AT90+BC90)/U90</f>
        <v>0</v>
      </c>
      <c r="BH90" s="40" t="e">
        <f t="shared" ref="BH90:BH104" si="65">+(AL90+AC90+AU90+BD90)/W90</f>
        <v>#DIV/0!</v>
      </c>
      <c r="BI90" s="44">
        <f t="shared" ref="BI90:BI107" si="66">IF(AND(Y90=0,AB90=0),"No Prog ni Ejec",IF(Y90=0,CONCATENATE("No Prog, Ejec=  ",AB90),AB90/Y90))</f>
        <v>0</v>
      </c>
      <c r="BJ90" s="44" t="str">
        <f t="shared" ref="BJ90:BJ107" si="67">IF(AND(AA90=0,AC90=0),"No Prog ni Ejec",IF(AA90=0,CONCATENATE("No Prog, Ejec=  ",AC90),AC90/AA90))</f>
        <v>No Prog ni Ejec</v>
      </c>
      <c r="BK90" s="44">
        <f t="shared" ref="BK90:BK107" si="68">IF(AND(AH90=0,AK90=0),"No Prog ni Ejec",IF(AH90=0,CONCATENATE("No Prog, Ejec=  ",AK90),AK90/AH90))</f>
        <v>0</v>
      </c>
      <c r="BL90" s="44" t="str">
        <f t="shared" ref="BL90:BL107" si="69">IF(AND(AJ90=0,AL90=0),"No Prog ni Ejec",IF(AJ90=0,CONCATENATE("No Prog, Ejec=  ",AL90),AL90/AJ90))</f>
        <v>No Prog ni Ejec</v>
      </c>
      <c r="BM90" s="44">
        <f t="shared" ref="BM90:BM107" si="70">IF(AND(AQ90=0,AT90=0),"No Prog ni Ejec",IF(AQ90=0,CONCATENATE("No Prog, Ejec=  ",AT90),AT90/AQ90))</f>
        <v>0</v>
      </c>
      <c r="BN90" s="44" t="str">
        <f t="shared" ref="BN90:BN107" si="71">IF(AND(AS90=0,AU90=0),"No Prog ni Ejec",IF(AS90=0,CONCATENATE("No Prog, Ejec=  ",AU90),AU90/AS90))</f>
        <v>No Prog ni Ejec</v>
      </c>
      <c r="BO90" s="44">
        <f t="shared" ref="BO90:BO107" si="72">IF(AND(AZ90=0,BC90=0),"No Prog ni Ejec",IF(AZ90=0,CONCATENATE("No Prog, Ejec=  ",BC90),BC90/AZ90))</f>
        <v>0</v>
      </c>
      <c r="BP90" s="44" t="str">
        <f t="shared" ref="BP90:BP107" si="73">IF(AND(BB90=0,BD90=0),"No Prog ni Ejec",IF(BB90=0,CONCATENATE("No Prog, Ejec=  ",BD90),BD90/BB90))</f>
        <v>No Prog ni Ejec</v>
      </c>
      <c r="BQ90" s="42"/>
    </row>
    <row r="91" spans="1:69" s="45" customFormat="1" ht="105" x14ac:dyDescent="0.25">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50"/>
        <v>0</v>
      </c>
      <c r="AE91" s="40" t="e">
        <f t="shared" si="51"/>
        <v>#DIV/0!</v>
      </c>
      <c r="AF91" s="40">
        <f t="shared" si="52"/>
        <v>0</v>
      </c>
      <c r="AG91" s="40" t="e">
        <f t="shared" si="53"/>
        <v>#DIV/0!</v>
      </c>
      <c r="AH91" s="39">
        <v>1</v>
      </c>
      <c r="AI91" s="35" t="str">
        <f>+$J$91</f>
        <v>Informes Estados Financieros (Balance General y Estado de Resultados) de la UGG</v>
      </c>
      <c r="AJ91" s="39">
        <v>0</v>
      </c>
      <c r="AK91" s="42"/>
      <c r="AL91" s="42"/>
      <c r="AM91" s="40">
        <f t="shared" si="54"/>
        <v>0</v>
      </c>
      <c r="AN91" s="40" t="e">
        <f t="shared" si="55"/>
        <v>#DIV/0!</v>
      </c>
      <c r="AO91" s="40">
        <f t="shared" si="56"/>
        <v>0</v>
      </c>
      <c r="AP91" s="43" t="e">
        <f t="shared" si="57"/>
        <v>#DIV/0!</v>
      </c>
      <c r="AQ91" s="39">
        <v>1</v>
      </c>
      <c r="AR91" s="35" t="str">
        <f>+$J$91</f>
        <v>Informes Estados Financieros (Balance General y Estado de Resultados) de la UGG</v>
      </c>
      <c r="AS91" s="39">
        <v>0</v>
      </c>
      <c r="AT91" s="42"/>
      <c r="AU91" s="42"/>
      <c r="AV91" s="40">
        <f t="shared" si="58"/>
        <v>0</v>
      </c>
      <c r="AW91" s="40" t="e">
        <f t="shared" si="59"/>
        <v>#DIV/0!</v>
      </c>
      <c r="AX91" s="40">
        <f t="shared" si="60"/>
        <v>0</v>
      </c>
      <c r="AY91" s="40" t="e">
        <f t="shared" si="61"/>
        <v>#DIV/0!</v>
      </c>
      <c r="AZ91" s="39">
        <v>1</v>
      </c>
      <c r="BA91" s="35" t="str">
        <f>+$J$91</f>
        <v>Informes Estados Financieros (Balance General y Estado de Resultados) de la UGG</v>
      </c>
      <c r="BB91" s="39">
        <v>0</v>
      </c>
      <c r="BC91" s="42"/>
      <c r="BD91" s="42"/>
      <c r="BE91" s="40">
        <f t="shared" si="62"/>
        <v>0</v>
      </c>
      <c r="BF91" s="40" t="e">
        <f t="shared" si="63"/>
        <v>#DIV/0!</v>
      </c>
      <c r="BG91" s="40">
        <f t="shared" si="64"/>
        <v>0</v>
      </c>
      <c r="BH91" s="40" t="e">
        <f t="shared" si="65"/>
        <v>#DIV/0!</v>
      </c>
      <c r="BI91" s="44">
        <f t="shared" si="66"/>
        <v>0</v>
      </c>
      <c r="BJ91" s="44" t="str">
        <f t="shared" si="67"/>
        <v>No Prog ni Ejec</v>
      </c>
      <c r="BK91" s="44">
        <f t="shared" si="68"/>
        <v>0</v>
      </c>
      <c r="BL91" s="44" t="str">
        <f t="shared" si="69"/>
        <v>No Prog ni Ejec</v>
      </c>
      <c r="BM91" s="44">
        <f t="shared" si="70"/>
        <v>0</v>
      </c>
      <c r="BN91" s="44" t="str">
        <f t="shared" si="71"/>
        <v>No Prog ni Ejec</v>
      </c>
      <c r="BO91" s="44">
        <f t="shared" si="72"/>
        <v>0</v>
      </c>
      <c r="BP91" s="44" t="str">
        <f t="shared" si="73"/>
        <v>No Prog ni Ejec</v>
      </c>
      <c r="BQ91" s="42"/>
    </row>
    <row r="92" spans="1:69" s="45" customFormat="1" ht="105" x14ac:dyDescent="0.25">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50"/>
        <v>0</v>
      </c>
      <c r="AE92" s="40" t="e">
        <f t="shared" si="51"/>
        <v>#DIV/0!</v>
      </c>
      <c r="AF92" s="40">
        <f t="shared" si="52"/>
        <v>0</v>
      </c>
      <c r="AG92" s="40" t="e">
        <f t="shared" si="53"/>
        <v>#DIV/0!</v>
      </c>
      <c r="AH92" s="39">
        <v>1</v>
      </c>
      <c r="AI92" s="35" t="str">
        <f>+$J$92</f>
        <v>Informes Operaciones Reciprocas</v>
      </c>
      <c r="AJ92" s="39">
        <v>0</v>
      </c>
      <c r="AK92" s="42"/>
      <c r="AL92" s="42"/>
      <c r="AM92" s="40">
        <f t="shared" si="54"/>
        <v>0</v>
      </c>
      <c r="AN92" s="40" t="e">
        <f t="shared" si="55"/>
        <v>#DIV/0!</v>
      </c>
      <c r="AO92" s="40">
        <f t="shared" si="56"/>
        <v>0</v>
      </c>
      <c r="AP92" s="43" t="e">
        <f t="shared" si="57"/>
        <v>#DIV/0!</v>
      </c>
      <c r="AQ92" s="39">
        <v>1</v>
      </c>
      <c r="AR92" s="35" t="str">
        <f>+$J$92</f>
        <v>Informes Operaciones Reciprocas</v>
      </c>
      <c r="AS92" s="39">
        <v>0</v>
      </c>
      <c r="AT92" s="42"/>
      <c r="AU92" s="42"/>
      <c r="AV92" s="40">
        <f t="shared" si="58"/>
        <v>0</v>
      </c>
      <c r="AW92" s="40" t="e">
        <f t="shared" si="59"/>
        <v>#DIV/0!</v>
      </c>
      <c r="AX92" s="40">
        <f t="shared" si="60"/>
        <v>0</v>
      </c>
      <c r="AY92" s="40" t="e">
        <f t="shared" si="61"/>
        <v>#DIV/0!</v>
      </c>
      <c r="AZ92" s="39">
        <v>1</v>
      </c>
      <c r="BA92" s="35" t="str">
        <f>+$J$92</f>
        <v>Informes Operaciones Reciprocas</v>
      </c>
      <c r="BB92" s="39">
        <v>0</v>
      </c>
      <c r="BC92" s="42"/>
      <c r="BD92" s="42"/>
      <c r="BE92" s="40">
        <f t="shared" si="62"/>
        <v>0</v>
      </c>
      <c r="BF92" s="40" t="e">
        <f t="shared" si="63"/>
        <v>#DIV/0!</v>
      </c>
      <c r="BG92" s="40">
        <f t="shared" si="64"/>
        <v>0</v>
      </c>
      <c r="BH92" s="40" t="e">
        <f t="shared" si="65"/>
        <v>#DIV/0!</v>
      </c>
      <c r="BI92" s="44">
        <f t="shared" si="66"/>
        <v>0</v>
      </c>
      <c r="BJ92" s="44" t="str">
        <f t="shared" si="67"/>
        <v>No Prog ni Ejec</v>
      </c>
      <c r="BK92" s="44">
        <f t="shared" si="68"/>
        <v>0</v>
      </c>
      <c r="BL92" s="44" t="str">
        <f t="shared" si="69"/>
        <v>No Prog ni Ejec</v>
      </c>
      <c r="BM92" s="44">
        <f t="shared" si="70"/>
        <v>0</v>
      </c>
      <c r="BN92" s="44" t="str">
        <f t="shared" si="71"/>
        <v>No Prog ni Ejec</v>
      </c>
      <c r="BO92" s="44">
        <f t="shared" si="72"/>
        <v>0</v>
      </c>
      <c r="BP92" s="44" t="str">
        <f t="shared" si="73"/>
        <v>No Prog ni Ejec</v>
      </c>
      <c r="BQ92" s="42"/>
    </row>
    <row r="93" spans="1:69" s="45" customFormat="1" ht="135" x14ac:dyDescent="0.25">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50"/>
        <v>0</v>
      </c>
      <c r="AE93" s="40" t="e">
        <f t="shared" si="51"/>
        <v>#DIV/0!</v>
      </c>
      <c r="AF93" s="40">
        <f t="shared" si="52"/>
        <v>0</v>
      </c>
      <c r="AG93" s="40" t="e">
        <f t="shared" si="53"/>
        <v>#DIV/0!</v>
      </c>
      <c r="AH93" s="40">
        <v>0.25</v>
      </c>
      <c r="AI93" s="35" t="str">
        <f>+$J$93</f>
        <v xml:space="preserve">Tramite de pago de las Cuentas de Cobro con Soportes Documentales radicadas en el mes </v>
      </c>
      <c r="AJ93" s="39">
        <v>0</v>
      </c>
      <c r="AK93" s="42"/>
      <c r="AL93" s="42"/>
      <c r="AM93" s="40">
        <f t="shared" si="54"/>
        <v>0</v>
      </c>
      <c r="AN93" s="40" t="e">
        <f t="shared" si="55"/>
        <v>#DIV/0!</v>
      </c>
      <c r="AO93" s="40">
        <f t="shared" si="56"/>
        <v>0</v>
      </c>
      <c r="AP93" s="43" t="e">
        <f t="shared" si="57"/>
        <v>#DIV/0!</v>
      </c>
      <c r="AQ93" s="40">
        <v>0.25</v>
      </c>
      <c r="AR93" s="35" t="str">
        <f>+$J$93</f>
        <v xml:space="preserve">Tramite de pago de las Cuentas de Cobro con Soportes Documentales radicadas en el mes </v>
      </c>
      <c r="AS93" s="39">
        <v>0</v>
      </c>
      <c r="AT93" s="42"/>
      <c r="AU93" s="42"/>
      <c r="AV93" s="40">
        <f t="shared" si="58"/>
        <v>0</v>
      </c>
      <c r="AW93" s="40" t="e">
        <f t="shared" si="59"/>
        <v>#DIV/0!</v>
      </c>
      <c r="AX93" s="40">
        <f t="shared" si="60"/>
        <v>0</v>
      </c>
      <c r="AY93" s="40" t="e">
        <f t="shared" si="61"/>
        <v>#DIV/0!</v>
      </c>
      <c r="AZ93" s="40">
        <v>0.25</v>
      </c>
      <c r="BA93" s="35" t="str">
        <f>+$J$93</f>
        <v xml:space="preserve">Tramite de pago de las Cuentas de Cobro con Soportes Documentales radicadas en el mes </v>
      </c>
      <c r="BB93" s="39">
        <v>0</v>
      </c>
      <c r="BC93" s="42"/>
      <c r="BD93" s="42"/>
      <c r="BE93" s="40">
        <f t="shared" si="62"/>
        <v>0</v>
      </c>
      <c r="BF93" s="40" t="e">
        <f t="shared" si="63"/>
        <v>#DIV/0!</v>
      </c>
      <c r="BG93" s="40">
        <f t="shared" si="64"/>
        <v>0</v>
      </c>
      <c r="BH93" s="40" t="e">
        <f t="shared" si="65"/>
        <v>#DIV/0!</v>
      </c>
      <c r="BI93" s="44">
        <f t="shared" si="66"/>
        <v>0</v>
      </c>
      <c r="BJ93" s="44" t="str">
        <f t="shared" si="67"/>
        <v>No Prog ni Ejec</v>
      </c>
      <c r="BK93" s="44">
        <f t="shared" si="68"/>
        <v>0</v>
      </c>
      <c r="BL93" s="44" t="str">
        <f t="shared" si="69"/>
        <v>No Prog ni Ejec</v>
      </c>
      <c r="BM93" s="44">
        <f t="shared" si="70"/>
        <v>0</v>
      </c>
      <c r="BN93" s="44" t="str">
        <f t="shared" si="71"/>
        <v>No Prog ni Ejec</v>
      </c>
      <c r="BO93" s="44">
        <f t="shared" si="72"/>
        <v>0</v>
      </c>
      <c r="BP93" s="44" t="str">
        <f t="shared" si="73"/>
        <v>No Prog ni Ejec</v>
      </c>
      <c r="BQ93" s="42"/>
    </row>
    <row r="94" spans="1:69" s="45" customFormat="1" ht="150" x14ac:dyDescent="0.25">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50"/>
        <v>0</v>
      </c>
      <c r="AE94" s="40">
        <f t="shared" si="51"/>
        <v>0</v>
      </c>
      <c r="AF94" s="40">
        <f t="shared" si="52"/>
        <v>0</v>
      </c>
      <c r="AG94" s="40">
        <f t="shared" si="53"/>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4"/>
        <v>0</v>
      </c>
      <c r="AN94" s="40">
        <f t="shared" si="55"/>
        <v>0</v>
      </c>
      <c r="AO94" s="40">
        <f t="shared" si="56"/>
        <v>0</v>
      </c>
      <c r="AP94" s="43">
        <f t="shared" si="57"/>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8"/>
        <v>0</v>
      </c>
      <c r="AW94" s="40">
        <f t="shared" si="59"/>
        <v>0</v>
      </c>
      <c r="AX94" s="40">
        <f t="shared" si="60"/>
        <v>0</v>
      </c>
      <c r="AY94" s="40">
        <f t="shared" si="61"/>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2"/>
        <v>0</v>
      </c>
      <c r="BF94" s="40">
        <f t="shared" si="63"/>
        <v>0</v>
      </c>
      <c r="BG94" s="40">
        <f t="shared" si="64"/>
        <v>0</v>
      </c>
      <c r="BH94" s="40">
        <f t="shared" si="65"/>
        <v>0</v>
      </c>
      <c r="BI94" s="44">
        <f t="shared" si="66"/>
        <v>0</v>
      </c>
      <c r="BJ94" s="44">
        <f t="shared" si="67"/>
        <v>0</v>
      </c>
      <c r="BK94" s="44">
        <f t="shared" si="68"/>
        <v>0</v>
      </c>
      <c r="BL94" s="44">
        <f t="shared" si="69"/>
        <v>0</v>
      </c>
      <c r="BM94" s="44">
        <f t="shared" si="70"/>
        <v>0</v>
      </c>
      <c r="BN94" s="44">
        <f t="shared" si="71"/>
        <v>0</v>
      </c>
      <c r="BO94" s="44">
        <f t="shared" si="72"/>
        <v>0</v>
      </c>
      <c r="BP94" s="44">
        <f t="shared" si="73"/>
        <v>0</v>
      </c>
      <c r="BQ94" s="42"/>
    </row>
    <row r="95" spans="1:69" s="45" customFormat="1" ht="105" x14ac:dyDescent="0.25">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50"/>
        <v>0</v>
      </c>
      <c r="AE95" s="40" t="e">
        <f t="shared" si="51"/>
        <v>#DIV/0!</v>
      </c>
      <c r="AF95" s="40">
        <f t="shared" si="52"/>
        <v>0</v>
      </c>
      <c r="AG95" s="40" t="e">
        <f t="shared" si="53"/>
        <v>#DIV/0!</v>
      </c>
      <c r="AH95" s="47">
        <v>0.25</v>
      </c>
      <c r="AI95" s="35" t="str">
        <f>+$V$95</f>
        <v xml:space="preserve">No de Actos de cierre y/ o liquidaciones elaboradas / No. De Contratos terminados. </v>
      </c>
      <c r="AJ95" s="39">
        <v>0</v>
      </c>
      <c r="AK95" s="42"/>
      <c r="AL95" s="42"/>
      <c r="AM95" s="40">
        <f t="shared" si="54"/>
        <v>0</v>
      </c>
      <c r="AN95" s="40" t="e">
        <f t="shared" si="55"/>
        <v>#DIV/0!</v>
      </c>
      <c r="AO95" s="40">
        <f t="shared" si="56"/>
        <v>0</v>
      </c>
      <c r="AP95" s="43" t="e">
        <f t="shared" si="57"/>
        <v>#DIV/0!</v>
      </c>
      <c r="AQ95" s="47">
        <v>0.25</v>
      </c>
      <c r="AR95" s="35" t="str">
        <f>+$V$95</f>
        <v xml:space="preserve">No de Actos de cierre y/ o liquidaciones elaboradas / No. De Contratos terminados. </v>
      </c>
      <c r="AS95" s="39">
        <v>0</v>
      </c>
      <c r="AT95" s="42"/>
      <c r="AU95" s="42"/>
      <c r="AV95" s="40">
        <f t="shared" si="58"/>
        <v>0</v>
      </c>
      <c r="AW95" s="40" t="e">
        <f t="shared" si="59"/>
        <v>#DIV/0!</v>
      </c>
      <c r="AX95" s="40">
        <f t="shared" si="60"/>
        <v>0</v>
      </c>
      <c r="AY95" s="40" t="e">
        <f t="shared" si="61"/>
        <v>#DIV/0!</v>
      </c>
      <c r="AZ95" s="47">
        <v>0.25</v>
      </c>
      <c r="BA95" s="35" t="str">
        <f>+$V$95</f>
        <v xml:space="preserve">No de Actos de cierre y/ o liquidaciones elaboradas / No. De Contratos terminados. </v>
      </c>
      <c r="BB95" s="39">
        <v>0</v>
      </c>
      <c r="BC95" s="42"/>
      <c r="BD95" s="42"/>
      <c r="BE95" s="40">
        <f t="shared" si="62"/>
        <v>0</v>
      </c>
      <c r="BF95" s="40" t="e">
        <f t="shared" si="63"/>
        <v>#DIV/0!</v>
      </c>
      <c r="BG95" s="40">
        <f t="shared" si="64"/>
        <v>0</v>
      </c>
      <c r="BH95" s="40" t="e">
        <f t="shared" si="65"/>
        <v>#DIV/0!</v>
      </c>
      <c r="BI95" s="44">
        <f t="shared" si="66"/>
        <v>0</v>
      </c>
      <c r="BJ95" s="44" t="str">
        <f t="shared" si="67"/>
        <v>No Prog ni Ejec</v>
      </c>
      <c r="BK95" s="44">
        <f t="shared" si="68"/>
        <v>0</v>
      </c>
      <c r="BL95" s="44" t="str">
        <f t="shared" si="69"/>
        <v>No Prog ni Ejec</v>
      </c>
      <c r="BM95" s="44">
        <f t="shared" si="70"/>
        <v>0</v>
      </c>
      <c r="BN95" s="44" t="str">
        <f t="shared" si="71"/>
        <v>No Prog ni Ejec</v>
      </c>
      <c r="BO95" s="44">
        <f t="shared" si="72"/>
        <v>0</v>
      </c>
      <c r="BP95" s="44" t="str">
        <f t="shared" si="73"/>
        <v>No Prog ni Ejec</v>
      </c>
      <c r="BQ95" s="42"/>
    </row>
    <row r="96" spans="1:69" s="45" customFormat="1" ht="105" x14ac:dyDescent="0.25">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50"/>
        <v>0</v>
      </c>
      <c r="AE96" s="40">
        <f t="shared" si="51"/>
        <v>0</v>
      </c>
      <c r="AF96" s="40">
        <f t="shared" si="52"/>
        <v>0</v>
      </c>
      <c r="AG96" s="40">
        <f t="shared" si="53"/>
        <v>0</v>
      </c>
      <c r="AH96" s="52">
        <v>2</v>
      </c>
      <c r="AI96" s="35" t="str">
        <f>+$J$96</f>
        <v>Realizar capacitación y fortalecimiento de las competencias laborales de los funcionarios</v>
      </c>
      <c r="AJ96" s="39">
        <v>121863250</v>
      </c>
      <c r="AK96" s="42"/>
      <c r="AL96" s="42"/>
      <c r="AM96" s="40">
        <f t="shared" si="54"/>
        <v>0</v>
      </c>
      <c r="AN96" s="40">
        <f t="shared" si="55"/>
        <v>0</v>
      </c>
      <c r="AO96" s="40">
        <f t="shared" si="56"/>
        <v>0</v>
      </c>
      <c r="AP96" s="43">
        <f t="shared" si="57"/>
        <v>0</v>
      </c>
      <c r="AQ96" s="52">
        <v>2</v>
      </c>
      <c r="AR96" s="35" t="str">
        <f>+$J$96</f>
        <v>Realizar capacitación y fortalecimiento de las competencias laborales de los funcionarios</v>
      </c>
      <c r="AS96" s="39">
        <v>121863250</v>
      </c>
      <c r="AT96" s="42"/>
      <c r="AU96" s="42"/>
      <c r="AV96" s="40">
        <f t="shared" si="58"/>
        <v>0</v>
      </c>
      <c r="AW96" s="40">
        <f t="shared" si="59"/>
        <v>0</v>
      </c>
      <c r="AX96" s="40">
        <f t="shared" si="60"/>
        <v>0</v>
      </c>
      <c r="AY96" s="40">
        <f t="shared" si="61"/>
        <v>0</v>
      </c>
      <c r="AZ96" s="52">
        <v>2</v>
      </c>
      <c r="BA96" s="35" t="str">
        <f>+$J$96</f>
        <v>Realizar capacitación y fortalecimiento de las competencias laborales de los funcionarios</v>
      </c>
      <c r="BB96" s="39">
        <v>121863250</v>
      </c>
      <c r="BC96" s="42"/>
      <c r="BD96" s="42"/>
      <c r="BE96" s="40">
        <f t="shared" si="62"/>
        <v>0</v>
      </c>
      <c r="BF96" s="40">
        <f t="shared" si="63"/>
        <v>0</v>
      </c>
      <c r="BG96" s="40">
        <f t="shared" si="64"/>
        <v>0</v>
      </c>
      <c r="BH96" s="40">
        <f t="shared" si="65"/>
        <v>0</v>
      </c>
      <c r="BI96" s="44">
        <f t="shared" si="66"/>
        <v>0</v>
      </c>
      <c r="BJ96" s="44">
        <f t="shared" si="67"/>
        <v>0</v>
      </c>
      <c r="BK96" s="44">
        <f t="shared" si="68"/>
        <v>0</v>
      </c>
      <c r="BL96" s="44">
        <f t="shared" si="69"/>
        <v>0</v>
      </c>
      <c r="BM96" s="44">
        <f t="shared" si="70"/>
        <v>0</v>
      </c>
      <c r="BN96" s="44">
        <f t="shared" si="71"/>
        <v>0</v>
      </c>
      <c r="BO96" s="44">
        <f t="shared" si="72"/>
        <v>0</v>
      </c>
      <c r="BP96" s="44">
        <f t="shared" si="73"/>
        <v>0</v>
      </c>
      <c r="BQ96" s="42"/>
    </row>
    <row r="97" spans="1:69" s="45" customFormat="1" ht="105" x14ac:dyDescent="0.25">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50"/>
        <v>0</v>
      </c>
      <c r="AE97" s="40">
        <f t="shared" si="51"/>
        <v>0</v>
      </c>
      <c r="AF97" s="40">
        <f t="shared" si="52"/>
        <v>0</v>
      </c>
      <c r="AG97" s="40">
        <f t="shared" si="53"/>
        <v>0</v>
      </c>
      <c r="AH97" s="47">
        <v>0.25</v>
      </c>
      <c r="AI97" s="35" t="str">
        <f>+$J$97</f>
        <v>Realizar actividades para fortalecer la calidad de vida de los servidores públicos de la entidad, así como el clima organizacional</v>
      </c>
      <c r="AJ97" s="39">
        <f>+W97*0.3</f>
        <v>99764100</v>
      </c>
      <c r="AK97" s="42"/>
      <c r="AL97" s="42"/>
      <c r="AM97" s="40">
        <f t="shared" si="54"/>
        <v>0</v>
      </c>
      <c r="AN97" s="40">
        <f t="shared" si="55"/>
        <v>0</v>
      </c>
      <c r="AO97" s="40">
        <f t="shared" si="56"/>
        <v>0</v>
      </c>
      <c r="AP97" s="43">
        <f t="shared" si="57"/>
        <v>0</v>
      </c>
      <c r="AQ97" s="47">
        <v>0.25</v>
      </c>
      <c r="AR97" s="35" t="str">
        <f>+$J$97</f>
        <v>Realizar actividades para fortalecer la calidad de vida de los servidores públicos de la entidad, así como el clima organizacional</v>
      </c>
      <c r="AS97" s="39">
        <v>66509400</v>
      </c>
      <c r="AT97" s="42"/>
      <c r="AU97" s="42"/>
      <c r="AV97" s="40">
        <f t="shared" si="58"/>
        <v>0</v>
      </c>
      <c r="AW97" s="40">
        <f t="shared" si="59"/>
        <v>0</v>
      </c>
      <c r="AX97" s="40">
        <f t="shared" si="60"/>
        <v>0</v>
      </c>
      <c r="AY97" s="40">
        <f t="shared" si="61"/>
        <v>0</v>
      </c>
      <c r="AZ97" s="47">
        <v>0.25</v>
      </c>
      <c r="BA97" s="35" t="str">
        <f>+$J$97</f>
        <v>Realizar actividades para fortalecer la calidad de vida de los servidores públicos de la entidad, así como el clima organizacional</v>
      </c>
      <c r="BB97" s="39">
        <v>99764100</v>
      </c>
      <c r="BC97" s="42"/>
      <c r="BD97" s="42"/>
      <c r="BE97" s="40">
        <f t="shared" si="62"/>
        <v>0</v>
      </c>
      <c r="BF97" s="40">
        <f t="shared" si="63"/>
        <v>0</v>
      </c>
      <c r="BG97" s="40">
        <f t="shared" si="64"/>
        <v>0</v>
      </c>
      <c r="BH97" s="40">
        <f t="shared" si="65"/>
        <v>0</v>
      </c>
      <c r="BI97" s="44">
        <f t="shared" si="66"/>
        <v>0</v>
      </c>
      <c r="BJ97" s="44">
        <f t="shared" si="67"/>
        <v>0</v>
      </c>
      <c r="BK97" s="44">
        <f t="shared" si="68"/>
        <v>0</v>
      </c>
      <c r="BL97" s="44">
        <f t="shared" si="69"/>
        <v>0</v>
      </c>
      <c r="BM97" s="44">
        <f t="shared" si="70"/>
        <v>0</v>
      </c>
      <c r="BN97" s="44">
        <f t="shared" si="71"/>
        <v>0</v>
      </c>
      <c r="BO97" s="44">
        <f t="shared" si="72"/>
        <v>0</v>
      </c>
      <c r="BP97" s="44">
        <f t="shared" si="73"/>
        <v>0</v>
      </c>
      <c r="BQ97" s="42"/>
    </row>
    <row r="98" spans="1:69" s="58" customFormat="1" ht="105" x14ac:dyDescent="0.25">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50"/>
        <v>0</v>
      </c>
      <c r="AE98" s="40">
        <f t="shared" si="51"/>
        <v>0</v>
      </c>
      <c r="AF98" s="40">
        <f t="shared" si="52"/>
        <v>0</v>
      </c>
      <c r="AG98" s="40">
        <f t="shared" si="53"/>
        <v>0</v>
      </c>
      <c r="AH98" s="100">
        <v>0.25</v>
      </c>
      <c r="AI98" s="35" t="str">
        <f>+$V$98</f>
        <v>Realización de Exámenes de Salud Ocupacional (pre-ocupacionales, exámenes médicos post-ocupacionales y exámenes médicos post-incapacidad)</v>
      </c>
      <c r="AJ98" s="39">
        <v>1500000</v>
      </c>
      <c r="AK98" s="42"/>
      <c r="AL98" s="42"/>
      <c r="AM98" s="40">
        <f t="shared" si="54"/>
        <v>0</v>
      </c>
      <c r="AN98" s="40">
        <f t="shared" si="55"/>
        <v>0</v>
      </c>
      <c r="AO98" s="40">
        <f t="shared" si="56"/>
        <v>0</v>
      </c>
      <c r="AP98" s="43">
        <f t="shared" si="57"/>
        <v>0</v>
      </c>
      <c r="AQ98" s="100">
        <v>0.25</v>
      </c>
      <c r="AR98" s="35" t="str">
        <f>+$V$98</f>
        <v>Realización de Exámenes de Salud Ocupacional (pre-ocupacionales, exámenes médicos post-ocupacionales y exámenes médicos post-incapacidad)</v>
      </c>
      <c r="AS98" s="39">
        <v>1500000</v>
      </c>
      <c r="AT98" s="42"/>
      <c r="AU98" s="42"/>
      <c r="AV98" s="40">
        <f t="shared" si="58"/>
        <v>0</v>
      </c>
      <c r="AW98" s="40">
        <f t="shared" si="59"/>
        <v>0</v>
      </c>
      <c r="AX98" s="40">
        <f t="shared" si="60"/>
        <v>0</v>
      </c>
      <c r="AY98" s="40">
        <f t="shared" si="61"/>
        <v>0</v>
      </c>
      <c r="AZ98" s="100">
        <v>0.25</v>
      </c>
      <c r="BA98" s="35" t="str">
        <f>+$V$98</f>
        <v>Realización de Exámenes de Salud Ocupacional (pre-ocupacionales, exámenes médicos post-ocupacionales y exámenes médicos post-incapacidad)</v>
      </c>
      <c r="BB98" s="39">
        <v>1500000</v>
      </c>
      <c r="BC98" s="42"/>
      <c r="BD98" s="42"/>
      <c r="BE98" s="40">
        <f t="shared" si="62"/>
        <v>0</v>
      </c>
      <c r="BF98" s="40">
        <f t="shared" si="63"/>
        <v>0</v>
      </c>
      <c r="BG98" s="40">
        <f t="shared" si="64"/>
        <v>0</v>
      </c>
      <c r="BH98" s="40">
        <f t="shared" si="65"/>
        <v>0</v>
      </c>
      <c r="BI98" s="57">
        <f t="shared" si="66"/>
        <v>0</v>
      </c>
      <c r="BJ98" s="57">
        <f t="shared" si="67"/>
        <v>0</v>
      </c>
      <c r="BK98" s="57">
        <f t="shared" si="68"/>
        <v>0</v>
      </c>
      <c r="BL98" s="57">
        <f t="shared" si="69"/>
        <v>0</v>
      </c>
      <c r="BM98" s="57">
        <f t="shared" si="70"/>
        <v>0</v>
      </c>
      <c r="BN98" s="57">
        <f t="shared" si="71"/>
        <v>0</v>
      </c>
      <c r="BO98" s="57">
        <f t="shared" si="72"/>
        <v>0</v>
      </c>
      <c r="BP98" s="57">
        <f t="shared" si="73"/>
        <v>0</v>
      </c>
      <c r="BQ98" s="21"/>
    </row>
    <row r="99" spans="1:69" s="58" customFormat="1" ht="105" x14ac:dyDescent="0.25">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6"/>
        <v>0</v>
      </c>
      <c r="BJ99" s="57">
        <f t="shared" si="67"/>
        <v>0</v>
      </c>
      <c r="BK99" s="57">
        <f t="shared" si="68"/>
        <v>0</v>
      </c>
      <c r="BL99" s="57">
        <f t="shared" si="69"/>
        <v>0</v>
      </c>
      <c r="BM99" s="57">
        <f t="shared" si="70"/>
        <v>0</v>
      </c>
      <c r="BN99" s="57" t="str">
        <f t="shared" si="71"/>
        <v>No Prog ni Ejec</v>
      </c>
      <c r="BO99" s="57">
        <f t="shared" si="72"/>
        <v>0</v>
      </c>
      <c r="BP99" s="57" t="str">
        <f t="shared" si="73"/>
        <v>No Prog ni Ejec</v>
      </c>
      <c r="BQ99" s="21"/>
    </row>
    <row r="100" spans="1:69" s="58" customFormat="1" ht="105" x14ac:dyDescent="0.25">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6"/>
        <v>0</v>
      </c>
      <c r="BJ100" s="57">
        <f t="shared" si="67"/>
        <v>0</v>
      </c>
      <c r="BK100" s="57">
        <f t="shared" si="68"/>
        <v>0</v>
      </c>
      <c r="BL100" s="57">
        <f t="shared" si="69"/>
        <v>0</v>
      </c>
      <c r="BM100" s="57">
        <f t="shared" si="70"/>
        <v>0</v>
      </c>
      <c r="BN100" s="57">
        <f t="shared" si="71"/>
        <v>0</v>
      </c>
      <c r="BO100" s="57">
        <f t="shared" si="72"/>
        <v>0</v>
      </c>
      <c r="BP100" s="57">
        <f t="shared" si="73"/>
        <v>0</v>
      </c>
      <c r="BQ100" s="21"/>
    </row>
    <row r="101" spans="1:69" s="58" customFormat="1" ht="105" x14ac:dyDescent="0.25">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 t="shared" ref="W101:W104" si="74">+K101</f>
        <v>48960000</v>
      </c>
      <c r="X101" s="34" t="s">
        <v>114</v>
      </c>
      <c r="Y101" s="100">
        <v>0.25</v>
      </c>
      <c r="Z101" s="35" t="str">
        <f>+$J$101</f>
        <v>Expedición de Certificaciones de Personal</v>
      </c>
      <c r="AA101" s="61">
        <f>+W101*Y101</f>
        <v>12240000</v>
      </c>
      <c r="AB101" s="42"/>
      <c r="AC101" s="42"/>
      <c r="AD101" s="40">
        <f t="shared" si="50"/>
        <v>0</v>
      </c>
      <c r="AE101" s="40">
        <f t="shared" si="51"/>
        <v>0</v>
      </c>
      <c r="AF101" s="40">
        <f t="shared" si="52"/>
        <v>0</v>
      </c>
      <c r="AG101" s="40">
        <f t="shared" si="53"/>
        <v>0</v>
      </c>
      <c r="AH101" s="100">
        <v>0.25</v>
      </c>
      <c r="AI101" s="35" t="str">
        <f>+$J$101</f>
        <v>Expedición de Certificaciones de Personal</v>
      </c>
      <c r="AJ101" s="61">
        <v>12240000</v>
      </c>
      <c r="AK101" s="42"/>
      <c r="AL101" s="42"/>
      <c r="AM101" s="40">
        <f t="shared" si="54"/>
        <v>0</v>
      </c>
      <c r="AN101" s="40">
        <f t="shared" si="55"/>
        <v>0</v>
      </c>
      <c r="AO101" s="40">
        <f t="shared" si="56"/>
        <v>0</v>
      </c>
      <c r="AP101" s="43">
        <f t="shared" si="57"/>
        <v>0</v>
      </c>
      <c r="AQ101" s="100">
        <v>0.25</v>
      </c>
      <c r="AR101" s="35" t="str">
        <f>+$J$101</f>
        <v>Expedición de Certificaciones de Personal</v>
      </c>
      <c r="AS101" s="61">
        <v>12240000</v>
      </c>
      <c r="AT101" s="42"/>
      <c r="AU101" s="42"/>
      <c r="AV101" s="40">
        <f t="shared" si="58"/>
        <v>0</v>
      </c>
      <c r="AW101" s="40">
        <f t="shared" si="59"/>
        <v>0</v>
      </c>
      <c r="AX101" s="40">
        <f t="shared" si="60"/>
        <v>0</v>
      </c>
      <c r="AY101" s="40">
        <f t="shared" si="61"/>
        <v>0</v>
      </c>
      <c r="AZ101" s="100">
        <v>0.25</v>
      </c>
      <c r="BA101" s="35" t="str">
        <f>+$J$101</f>
        <v>Expedición de Certificaciones de Personal</v>
      </c>
      <c r="BB101" s="61">
        <v>12240000</v>
      </c>
      <c r="BC101" s="42"/>
      <c r="BD101" s="42"/>
      <c r="BE101" s="40">
        <f t="shared" si="62"/>
        <v>0</v>
      </c>
      <c r="BF101" s="40">
        <f t="shared" si="63"/>
        <v>0</v>
      </c>
      <c r="BG101" s="40">
        <f t="shared" si="64"/>
        <v>0</v>
      </c>
      <c r="BH101" s="40">
        <f t="shared" si="65"/>
        <v>0</v>
      </c>
      <c r="BI101" s="57">
        <f t="shared" si="66"/>
        <v>0</v>
      </c>
      <c r="BJ101" s="57">
        <f t="shared" si="67"/>
        <v>0</v>
      </c>
      <c r="BK101" s="57">
        <f t="shared" si="68"/>
        <v>0</v>
      </c>
      <c r="BL101" s="57">
        <f t="shared" si="69"/>
        <v>0</v>
      </c>
      <c r="BM101" s="57">
        <f t="shared" si="70"/>
        <v>0</v>
      </c>
      <c r="BN101" s="57">
        <f t="shared" si="71"/>
        <v>0</v>
      </c>
      <c r="BO101" s="57">
        <f t="shared" si="72"/>
        <v>0</v>
      </c>
      <c r="BP101" s="57">
        <f t="shared" si="73"/>
        <v>0</v>
      </c>
      <c r="BQ101" s="21"/>
    </row>
    <row r="102" spans="1:69" s="58" customFormat="1" ht="105" x14ac:dyDescent="0.25">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 t="shared" si="74"/>
        <v>60000000</v>
      </c>
      <c r="X102" s="62" t="s">
        <v>114</v>
      </c>
      <c r="Y102" s="65">
        <v>0</v>
      </c>
      <c r="Z102" s="63" t="str">
        <f>+V102</f>
        <v>Publicación Actos Administrativos Diario Oficial</v>
      </c>
      <c r="AA102" s="77">
        <v>0</v>
      </c>
      <c r="AB102" s="70"/>
      <c r="AC102" s="70"/>
      <c r="AD102" s="68" t="e">
        <f>+(AB102/Y102)</f>
        <v>#DIV/0!</v>
      </c>
      <c r="AE102" s="68" t="e">
        <f t="shared" si="51"/>
        <v>#DIV/0!</v>
      </c>
      <c r="AF102" s="68">
        <f t="shared" si="52"/>
        <v>0</v>
      </c>
      <c r="AG102" s="68">
        <f t="shared" si="53"/>
        <v>0</v>
      </c>
      <c r="AH102" s="107">
        <v>0.5</v>
      </c>
      <c r="AI102" s="63" t="str">
        <f>+V102</f>
        <v>Publicación Actos Administrativos Diario Oficial</v>
      </c>
      <c r="AJ102" s="77">
        <v>30000000</v>
      </c>
      <c r="AK102" s="70"/>
      <c r="AL102" s="70"/>
      <c r="AM102" s="68">
        <f t="shared" si="54"/>
        <v>0</v>
      </c>
      <c r="AN102" s="68">
        <f t="shared" si="55"/>
        <v>0</v>
      </c>
      <c r="AO102" s="68">
        <f t="shared" si="56"/>
        <v>0</v>
      </c>
      <c r="AP102" s="71">
        <f t="shared" si="57"/>
        <v>0</v>
      </c>
      <c r="AQ102" s="107"/>
      <c r="AR102" s="63" t="str">
        <f>+V102</f>
        <v>Publicación Actos Administrativos Diario Oficial</v>
      </c>
      <c r="AS102" s="77">
        <v>0</v>
      </c>
      <c r="AT102" s="70"/>
      <c r="AU102" s="70"/>
      <c r="AV102" s="68" t="e">
        <f t="shared" si="58"/>
        <v>#DIV/0!</v>
      </c>
      <c r="AW102" s="68" t="e">
        <f t="shared" si="59"/>
        <v>#DIV/0!</v>
      </c>
      <c r="AX102" s="68">
        <f t="shared" si="60"/>
        <v>0</v>
      </c>
      <c r="AY102" s="68">
        <f t="shared" si="61"/>
        <v>0</v>
      </c>
      <c r="AZ102" s="107">
        <v>0.5</v>
      </c>
      <c r="BA102" s="63" t="str">
        <f>+V102</f>
        <v>Publicación Actos Administrativos Diario Oficial</v>
      </c>
      <c r="BB102" s="77">
        <v>30000000</v>
      </c>
      <c r="BC102" s="70"/>
      <c r="BD102" s="70"/>
      <c r="BE102" s="68">
        <f t="shared" si="62"/>
        <v>0</v>
      </c>
      <c r="BF102" s="68">
        <f t="shared" si="63"/>
        <v>0</v>
      </c>
      <c r="BG102" s="68">
        <f t="shared" si="64"/>
        <v>0</v>
      </c>
      <c r="BH102" s="68">
        <f t="shared" si="65"/>
        <v>0</v>
      </c>
      <c r="BI102" s="57" t="str">
        <f t="shared" si="66"/>
        <v>No Prog ni Ejec</v>
      </c>
      <c r="BJ102" s="57" t="str">
        <f t="shared" si="67"/>
        <v>No Prog ni Ejec</v>
      </c>
      <c r="BK102" s="57">
        <f t="shared" si="68"/>
        <v>0</v>
      </c>
      <c r="BL102" s="57">
        <f t="shared" si="69"/>
        <v>0</v>
      </c>
      <c r="BM102" s="57" t="str">
        <f t="shared" si="70"/>
        <v>No Prog ni Ejec</v>
      </c>
      <c r="BN102" s="57" t="str">
        <f t="shared" si="71"/>
        <v>No Prog ni Ejec</v>
      </c>
      <c r="BO102" s="57">
        <f t="shared" si="72"/>
        <v>0</v>
      </c>
      <c r="BP102" s="57">
        <f t="shared" si="73"/>
        <v>0</v>
      </c>
      <c r="BQ102" s="21"/>
    </row>
    <row r="103" spans="1:69" s="58" customFormat="1" ht="105" x14ac:dyDescent="0.25">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 t="shared" si="74"/>
        <v>2830042685.8000002</v>
      </c>
      <c r="X103" s="62" t="s">
        <v>114</v>
      </c>
      <c r="Y103" s="75">
        <v>0.2</v>
      </c>
      <c r="Z103" s="63" t="str">
        <f>+J103</f>
        <v>Funcionamiento continuo de las instalaciones de la ADRES</v>
      </c>
      <c r="AA103" s="77">
        <f>154899948.342857+240000</f>
        <v>155139948.342857</v>
      </c>
      <c r="AB103" s="70"/>
      <c r="AC103" s="70"/>
      <c r="AD103" s="68">
        <f t="shared" ref="AD103" si="75">+(AB103/Y103)</f>
        <v>0</v>
      </c>
      <c r="AE103" s="68">
        <f t="shared" si="51"/>
        <v>0</v>
      </c>
      <c r="AF103" s="68">
        <f t="shared" si="52"/>
        <v>0</v>
      </c>
      <c r="AG103" s="68">
        <f t="shared" si="53"/>
        <v>0</v>
      </c>
      <c r="AH103" s="75">
        <v>0.2</v>
      </c>
      <c r="AI103" s="63" t="str">
        <f>+V103</f>
        <v>Funcionamiento continuo de las instalaciones de la ADRES</v>
      </c>
      <c r="AJ103" s="77">
        <f>154899948.342857+40000</f>
        <v>154939948.342857</v>
      </c>
      <c r="AK103" s="70"/>
      <c r="AL103" s="70"/>
      <c r="AM103" s="68">
        <f t="shared" si="54"/>
        <v>0</v>
      </c>
      <c r="AN103" s="68">
        <f t="shared" si="55"/>
        <v>0</v>
      </c>
      <c r="AO103" s="68">
        <f t="shared" si="56"/>
        <v>0</v>
      </c>
      <c r="AP103" s="71">
        <f t="shared" si="57"/>
        <v>0</v>
      </c>
      <c r="AQ103" s="75">
        <v>0.3</v>
      </c>
      <c r="AR103" s="63" t="str">
        <f>+V103</f>
        <v>Funcionamiento continuo de las instalaciones de la ADRES</v>
      </c>
      <c r="AS103" s="77">
        <f>51633316.1142857+758018677</f>
        <v>809651993.11428571</v>
      </c>
      <c r="AT103" s="70"/>
      <c r="AU103" s="70"/>
      <c r="AV103" s="68">
        <f t="shared" si="58"/>
        <v>0</v>
      </c>
      <c r="AW103" s="68">
        <f t="shared" si="59"/>
        <v>0</v>
      </c>
      <c r="AX103" s="68">
        <f t="shared" si="60"/>
        <v>0</v>
      </c>
      <c r="AY103" s="68">
        <f t="shared" si="61"/>
        <v>0</v>
      </c>
      <c r="AZ103" s="75">
        <v>0.3</v>
      </c>
      <c r="BA103" s="63" t="str">
        <f>+AI103</f>
        <v>Funcionamiento continuo de las instalaciones de la ADRES</v>
      </c>
      <c r="BB103" s="77">
        <v>1710310796</v>
      </c>
      <c r="BC103" s="70"/>
      <c r="BD103" s="70"/>
      <c r="BE103" s="68">
        <f t="shared" si="62"/>
        <v>0</v>
      </c>
      <c r="BF103" s="68">
        <f t="shared" si="63"/>
        <v>0</v>
      </c>
      <c r="BG103" s="68">
        <f t="shared" si="64"/>
        <v>0</v>
      </c>
      <c r="BH103" s="68">
        <f t="shared" si="65"/>
        <v>0</v>
      </c>
      <c r="BI103" s="57">
        <f t="shared" si="66"/>
        <v>0</v>
      </c>
      <c r="BJ103" s="57">
        <f t="shared" si="67"/>
        <v>0</v>
      </c>
      <c r="BK103" s="57">
        <f t="shared" si="68"/>
        <v>0</v>
      </c>
      <c r="BL103" s="57">
        <f t="shared" si="69"/>
        <v>0</v>
      </c>
      <c r="BM103" s="57">
        <f t="shared" si="70"/>
        <v>0</v>
      </c>
      <c r="BN103" s="57">
        <f t="shared" si="71"/>
        <v>0</v>
      </c>
      <c r="BO103" s="57">
        <f t="shared" si="72"/>
        <v>0</v>
      </c>
      <c r="BP103" s="57">
        <f t="shared" si="73"/>
        <v>0</v>
      </c>
      <c r="BQ103" s="21"/>
    </row>
    <row r="104" spans="1:69" s="58" customFormat="1" ht="105" x14ac:dyDescent="0.25">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 t="shared" si="74"/>
        <v>670000000</v>
      </c>
      <c r="X104" s="34" t="s">
        <v>114</v>
      </c>
      <c r="Y104" s="55">
        <f>+AA104/W104</f>
        <v>0.26865671641791045</v>
      </c>
      <c r="Z104" s="35" t="str">
        <f>+$J$104</f>
        <v xml:space="preserve">Suministro de Tiquetes Aéreos y Viaticos </v>
      </c>
      <c r="AA104" s="61">
        <v>180000000</v>
      </c>
      <c r="AB104" s="42"/>
      <c r="AC104" s="42"/>
      <c r="AD104" s="40">
        <f t="shared" si="50"/>
        <v>0</v>
      </c>
      <c r="AE104" s="40">
        <f t="shared" si="51"/>
        <v>0</v>
      </c>
      <c r="AF104" s="40">
        <f t="shared" si="52"/>
        <v>0</v>
      </c>
      <c r="AG104" s="40">
        <f t="shared" si="53"/>
        <v>0</v>
      </c>
      <c r="AH104" s="100">
        <f>+AJ104/W104</f>
        <v>0.34328358208955223</v>
      </c>
      <c r="AI104" s="35" t="str">
        <f>+$J$104</f>
        <v xml:space="preserve">Suministro de Tiquetes Aéreos y Viaticos </v>
      </c>
      <c r="AJ104" s="61">
        <f>180000000+50000000</f>
        <v>230000000</v>
      </c>
      <c r="AK104" s="42"/>
      <c r="AL104" s="42"/>
      <c r="AM104" s="40">
        <f t="shared" si="54"/>
        <v>0</v>
      </c>
      <c r="AN104" s="40">
        <f t="shared" si="55"/>
        <v>0</v>
      </c>
      <c r="AO104" s="40">
        <f t="shared" si="56"/>
        <v>0</v>
      </c>
      <c r="AP104" s="43">
        <f t="shared" si="57"/>
        <v>0</v>
      </c>
      <c r="AQ104" s="55">
        <f>+AS104/K104</f>
        <v>0.17910447761194029</v>
      </c>
      <c r="AR104" s="35" t="str">
        <f>+$J$104</f>
        <v xml:space="preserve">Suministro de Tiquetes Aéreos y Viaticos </v>
      </c>
      <c r="AS104" s="61">
        <v>120000000</v>
      </c>
      <c r="AT104" s="42"/>
      <c r="AU104" s="42"/>
      <c r="AV104" s="40">
        <f t="shared" si="58"/>
        <v>0</v>
      </c>
      <c r="AW104" s="40">
        <f t="shared" si="59"/>
        <v>0</v>
      </c>
      <c r="AX104" s="40">
        <f t="shared" si="60"/>
        <v>0</v>
      </c>
      <c r="AY104" s="40">
        <f t="shared" si="61"/>
        <v>0</v>
      </c>
      <c r="AZ104" s="55">
        <f>+BB104/K104</f>
        <v>0.28358208955223879</v>
      </c>
      <c r="BA104" s="35" t="str">
        <f>+$J$104</f>
        <v xml:space="preserve">Suministro de Tiquetes Aéreos y Viaticos </v>
      </c>
      <c r="BB104" s="61">
        <f>90000000+100000000</f>
        <v>190000000</v>
      </c>
      <c r="BC104" s="42"/>
      <c r="BD104" s="42"/>
      <c r="BE104" s="40">
        <f t="shared" si="62"/>
        <v>0</v>
      </c>
      <c r="BF104" s="40">
        <f t="shared" si="63"/>
        <v>0</v>
      </c>
      <c r="BG104" s="40">
        <f t="shared" si="64"/>
        <v>0</v>
      </c>
      <c r="BH104" s="40">
        <f t="shared" si="65"/>
        <v>0</v>
      </c>
      <c r="BI104" s="57">
        <f t="shared" si="66"/>
        <v>0</v>
      </c>
      <c r="BJ104" s="57">
        <f t="shared" si="67"/>
        <v>0</v>
      </c>
      <c r="BK104" s="57">
        <f t="shared" si="68"/>
        <v>0</v>
      </c>
      <c r="BL104" s="57">
        <f t="shared" si="69"/>
        <v>0</v>
      </c>
      <c r="BM104" s="57">
        <f t="shared" si="70"/>
        <v>0</v>
      </c>
      <c r="BN104" s="57">
        <f t="shared" si="71"/>
        <v>0</v>
      </c>
      <c r="BO104" s="57">
        <f t="shared" si="72"/>
        <v>0</v>
      </c>
      <c r="BP104" s="57">
        <f t="shared" si="73"/>
        <v>0</v>
      </c>
      <c r="BQ104" s="21"/>
    </row>
    <row r="105" spans="1:69" s="58" customFormat="1" ht="105" x14ac:dyDescent="0.25">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6"/>
        <v>0</v>
      </c>
      <c r="BJ105" s="57">
        <f t="shared" si="67"/>
        <v>0</v>
      </c>
      <c r="BK105" s="57">
        <f t="shared" si="68"/>
        <v>0</v>
      </c>
      <c r="BL105" s="57">
        <f t="shared" si="69"/>
        <v>0</v>
      </c>
      <c r="BM105" s="57">
        <f t="shared" si="70"/>
        <v>0</v>
      </c>
      <c r="BN105" s="57">
        <f t="shared" si="71"/>
        <v>0</v>
      </c>
      <c r="BO105" s="57">
        <f t="shared" si="72"/>
        <v>0</v>
      </c>
      <c r="BP105" s="57">
        <f t="shared" si="73"/>
        <v>0</v>
      </c>
      <c r="BQ105" s="21"/>
    </row>
    <row r="106" spans="1:69" s="58" customFormat="1" ht="105" x14ac:dyDescent="0.25">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+(AB106/Y106)</f>
        <v>0</v>
      </c>
      <c r="AE106" s="83">
        <f t="shared" ref="AE106:AE107" si="76">+(AC106/AA106)</f>
        <v>0</v>
      </c>
      <c r="AF106" s="83">
        <f t="shared" ref="AF106:AF107" si="77">+(AB106/U106)</f>
        <v>0</v>
      </c>
      <c r="AG106" s="83">
        <f t="shared" ref="AG106" si="78">+(AC106/W106)</f>
        <v>0</v>
      </c>
      <c r="AH106" s="90">
        <v>0.25</v>
      </c>
      <c r="AI106" s="79" t="str">
        <f>+$J$99</f>
        <v>Generar y Liquidar Nomina ADRES</v>
      </c>
      <c r="AJ106" s="86">
        <v>112500000</v>
      </c>
      <c r="AK106" s="85"/>
      <c r="AL106" s="85"/>
      <c r="AM106" s="83">
        <f t="shared" ref="AM106:AM107" si="79">+(AK106/AH106)</f>
        <v>0</v>
      </c>
      <c r="AN106" s="83">
        <f t="shared" ref="AN106:AN107" si="80">+(AL106/AJ106)</f>
        <v>0</v>
      </c>
      <c r="AO106" s="83">
        <f t="shared" ref="AO106:AO107" si="81">+(AK106+AB106)/U106</f>
        <v>0</v>
      </c>
      <c r="AP106" s="87">
        <f t="shared" ref="AP106" si="82">+(AL106+AC106)/W106</f>
        <v>0</v>
      </c>
      <c r="AQ106" s="93">
        <v>0.25</v>
      </c>
      <c r="AR106" s="79" t="str">
        <f>+$J$99</f>
        <v>Generar y Liquidar Nomina ADRES</v>
      </c>
      <c r="AS106" s="86">
        <v>166511595</v>
      </c>
      <c r="AT106" s="85"/>
      <c r="AU106" s="92"/>
      <c r="AV106" s="83">
        <f t="shared" ref="AV106:AV107" si="83">+(AT106/AQ106)</f>
        <v>0</v>
      </c>
      <c r="AW106" s="83">
        <f t="shared" ref="AW106:AW107" si="84">+(AU106/AS106)</f>
        <v>0</v>
      </c>
      <c r="AX106" s="83">
        <f t="shared" ref="AX106:AX107" si="85">+(AK106+AB106+AT106)/U106</f>
        <v>0</v>
      </c>
      <c r="AY106" s="83">
        <f t="shared" ref="AY106" si="86">+(AL106+AC106+AU106)/W106</f>
        <v>0</v>
      </c>
      <c r="AZ106" s="90">
        <v>0.25</v>
      </c>
      <c r="BA106" s="79" t="str">
        <f>+$J$99</f>
        <v>Generar y Liquidar Nomina ADRES</v>
      </c>
      <c r="BB106" s="86">
        <v>137267392.5</v>
      </c>
      <c r="BC106" s="85"/>
      <c r="BD106" s="94"/>
      <c r="BE106" s="83">
        <f t="shared" ref="BE106:BE107" si="87">+(BC106/AZ106)</f>
        <v>0</v>
      </c>
      <c r="BF106" s="83">
        <f t="shared" ref="BF106:BF107" si="88">+(BD106/BB106)</f>
        <v>0</v>
      </c>
      <c r="BG106" s="83">
        <f t="shared" ref="BG106:BG107" si="89">+(AK106+AB106+AT106+BC106)/U106</f>
        <v>0</v>
      </c>
      <c r="BH106" s="83">
        <f t="shared" ref="BH106" si="90">+(AL106+AC106+AU106+BD106)/W106</f>
        <v>0</v>
      </c>
      <c r="BI106" s="57">
        <f t="shared" si="66"/>
        <v>0</v>
      </c>
      <c r="BJ106" s="57">
        <f t="shared" si="67"/>
        <v>0</v>
      </c>
      <c r="BK106" s="57">
        <f t="shared" si="68"/>
        <v>0</v>
      </c>
      <c r="BL106" s="57">
        <f t="shared" si="69"/>
        <v>0</v>
      </c>
      <c r="BM106" s="57">
        <f t="shared" si="70"/>
        <v>0</v>
      </c>
      <c r="BN106" s="57">
        <f t="shared" si="71"/>
        <v>0</v>
      </c>
      <c r="BO106" s="57">
        <f t="shared" si="72"/>
        <v>0</v>
      </c>
      <c r="BP106" s="57">
        <f t="shared" si="73"/>
        <v>0</v>
      </c>
      <c r="BQ106" s="21"/>
    </row>
    <row r="107" spans="1:69" s="58" customFormat="1" ht="255" x14ac:dyDescent="0.25">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 t="shared" ref="W107" si="91">+K107</f>
        <v>48960000</v>
      </c>
      <c r="X107" s="78" t="s">
        <v>114</v>
      </c>
      <c r="Y107" s="90">
        <v>0.25</v>
      </c>
      <c r="Z107" s="81" t="s">
        <v>656</v>
      </c>
      <c r="AA107" s="86">
        <v>12240000</v>
      </c>
      <c r="AB107" s="94"/>
      <c r="AC107" s="96"/>
      <c r="AD107" s="83">
        <f>+(AB107/Y107)</f>
        <v>0</v>
      </c>
      <c r="AE107" s="83">
        <f t="shared" si="76"/>
        <v>0</v>
      </c>
      <c r="AF107" s="83">
        <f t="shared" si="77"/>
        <v>0</v>
      </c>
      <c r="AG107" s="83">
        <f>+(AC107/W107)</f>
        <v>0</v>
      </c>
      <c r="AH107" s="93">
        <v>0.25</v>
      </c>
      <c r="AI107" s="81" t="s">
        <v>656</v>
      </c>
      <c r="AJ107" s="86">
        <v>12240000</v>
      </c>
      <c r="AK107" s="85"/>
      <c r="AL107" s="85"/>
      <c r="AM107" s="83">
        <f t="shared" si="79"/>
        <v>0</v>
      </c>
      <c r="AN107" s="83">
        <f t="shared" si="80"/>
        <v>0</v>
      </c>
      <c r="AO107" s="83">
        <f t="shared" si="81"/>
        <v>0</v>
      </c>
      <c r="AP107" s="97">
        <f>+(AL107+AC107)/W107</f>
        <v>0</v>
      </c>
      <c r="AQ107" s="93">
        <v>0.25</v>
      </c>
      <c r="AR107" s="81" t="s">
        <v>656</v>
      </c>
      <c r="AS107" s="86">
        <v>12240000</v>
      </c>
      <c r="AT107" s="85"/>
      <c r="AU107" s="85"/>
      <c r="AV107" s="83">
        <f t="shared" si="83"/>
        <v>0</v>
      </c>
      <c r="AW107" s="83">
        <f t="shared" si="84"/>
        <v>0</v>
      </c>
      <c r="AX107" s="83">
        <f t="shared" si="85"/>
        <v>0</v>
      </c>
      <c r="AY107" s="83">
        <f>+(AL107+AC107)/W107</f>
        <v>0</v>
      </c>
      <c r="AZ107" s="93">
        <v>0.25</v>
      </c>
      <c r="BA107" s="81" t="s">
        <v>656</v>
      </c>
      <c r="BB107" s="86">
        <v>12240000</v>
      </c>
      <c r="BC107" s="85"/>
      <c r="BD107" s="85"/>
      <c r="BE107" s="83">
        <f t="shared" si="87"/>
        <v>0</v>
      </c>
      <c r="BF107" s="83">
        <f t="shared" si="88"/>
        <v>0</v>
      </c>
      <c r="BG107" s="83">
        <f t="shared" si="89"/>
        <v>0</v>
      </c>
      <c r="BH107" s="83">
        <f>+(AL107+AA107+AU107+BD107)/W107</f>
        <v>0.25</v>
      </c>
      <c r="BI107" s="57">
        <f t="shared" si="66"/>
        <v>0</v>
      </c>
      <c r="BJ107" s="57">
        <f t="shared" si="67"/>
        <v>0</v>
      </c>
      <c r="BK107" s="57">
        <f t="shared" si="68"/>
        <v>0</v>
      </c>
      <c r="BL107" s="57">
        <f t="shared" si="69"/>
        <v>0</v>
      </c>
      <c r="BM107" s="57">
        <f t="shared" si="70"/>
        <v>0</v>
      </c>
      <c r="BN107" s="57">
        <f t="shared" si="71"/>
        <v>0</v>
      </c>
      <c r="BO107" s="57">
        <f t="shared" si="72"/>
        <v>0</v>
      </c>
      <c r="BP107" s="57">
        <f t="shared" si="73"/>
        <v>0</v>
      </c>
      <c r="BQ107" s="21"/>
    </row>
    <row r="108" spans="1:69" s="58" customFormat="1" ht="105" x14ac:dyDescent="0.25">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+(AB108/Y108)</f>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5" x14ac:dyDescent="0.25">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25"/>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5" x14ac:dyDescent="0.25">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25"/>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5" x14ac:dyDescent="0.25">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25"/>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105" x14ac:dyDescent="0.25">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25"/>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35" x14ac:dyDescent="0.25">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25"/>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80" x14ac:dyDescent="0.25">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25"/>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105" x14ac:dyDescent="0.25">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25"/>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105" x14ac:dyDescent="0.25">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25"/>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5" x14ac:dyDescent="0.25">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25"/>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5" x14ac:dyDescent="0.25">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+(AB118/Y118)</f>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5" x14ac:dyDescent="0.25">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25"/>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5" x14ac:dyDescent="0.25">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20" x14ac:dyDescent="0.25">
      <c r="A121" s="80">
        <v>11900</v>
      </c>
      <c r="B121" s="79" t="s">
        <v>349</v>
      </c>
      <c r="C121" s="80" t="s">
        <v>357</v>
      </c>
      <c r="D121" s="79" t="s">
        <v>146</v>
      </c>
      <c r="E121" s="80" t="s">
        <v>361</v>
      </c>
      <c r="F121" s="79" t="s">
        <v>436</v>
      </c>
      <c r="G121" s="80" t="s">
        <v>123</v>
      </c>
      <c r="H121" s="93">
        <v>1</v>
      </c>
      <c r="I121" s="80" t="s">
        <v>458</v>
      </c>
      <c r="J121" s="81" t="s">
        <v>362</v>
      </c>
      <c r="K121" s="940">
        <v>690412896</v>
      </c>
      <c r="L121" s="943">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940">
        <v>172603224</v>
      </c>
      <c r="AB121" s="85"/>
      <c r="AC121" s="946"/>
      <c r="AD121" s="83">
        <v>0</v>
      </c>
      <c r="AE121" s="83">
        <v>0</v>
      </c>
      <c r="AF121" s="83">
        <v>0</v>
      </c>
      <c r="AG121" s="83">
        <v>0</v>
      </c>
      <c r="AH121" s="88">
        <v>0.25</v>
      </c>
      <c r="AI121" s="81" t="s">
        <v>362</v>
      </c>
      <c r="AJ121" s="940">
        <v>172603224</v>
      </c>
      <c r="AK121" s="85"/>
      <c r="AL121" s="949"/>
      <c r="AM121" s="82">
        <v>0</v>
      </c>
      <c r="AN121" s="83">
        <v>0</v>
      </c>
      <c r="AO121" s="83">
        <v>0</v>
      </c>
      <c r="AP121" s="87">
        <v>0</v>
      </c>
      <c r="AQ121" s="88">
        <v>0.25</v>
      </c>
      <c r="AR121" s="81" t="s">
        <v>362</v>
      </c>
      <c r="AS121" s="940">
        <v>172603224</v>
      </c>
      <c r="AT121" s="85"/>
      <c r="AU121" s="946"/>
      <c r="AV121" s="83">
        <v>0</v>
      </c>
      <c r="AW121" s="83">
        <v>0</v>
      </c>
      <c r="AX121" s="83">
        <v>0</v>
      </c>
      <c r="AY121" s="83">
        <v>0</v>
      </c>
      <c r="AZ121" s="88">
        <v>0.25</v>
      </c>
      <c r="BA121" s="81" t="s">
        <v>362</v>
      </c>
      <c r="BB121" s="940">
        <v>172603224</v>
      </c>
      <c r="BC121" s="85"/>
      <c r="BD121" s="946"/>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50" x14ac:dyDescent="0.25">
      <c r="A122" s="80">
        <v>11900</v>
      </c>
      <c r="B122" s="79" t="s">
        <v>349</v>
      </c>
      <c r="C122" s="80" t="s">
        <v>357</v>
      </c>
      <c r="D122" s="79" t="s">
        <v>146</v>
      </c>
      <c r="E122" s="80" t="s">
        <v>371</v>
      </c>
      <c r="F122" s="79" t="s">
        <v>366</v>
      </c>
      <c r="G122" s="80" t="s">
        <v>123</v>
      </c>
      <c r="H122" s="93">
        <v>1</v>
      </c>
      <c r="I122" s="80" t="s">
        <v>547</v>
      </c>
      <c r="J122" s="81" t="s">
        <v>362</v>
      </c>
      <c r="K122" s="941"/>
      <c r="L122" s="944"/>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941"/>
      <c r="AB122" s="85"/>
      <c r="AC122" s="947"/>
      <c r="AD122" s="83">
        <v>0</v>
      </c>
      <c r="AE122" s="83">
        <v>0</v>
      </c>
      <c r="AF122" s="83">
        <v>0</v>
      </c>
      <c r="AG122" s="83">
        <v>0</v>
      </c>
      <c r="AH122" s="88">
        <v>0.25</v>
      </c>
      <c r="AI122" s="81" t="s">
        <v>362</v>
      </c>
      <c r="AJ122" s="941"/>
      <c r="AK122" s="85"/>
      <c r="AL122" s="950"/>
      <c r="AM122" s="83">
        <v>0</v>
      </c>
      <c r="AN122" s="83">
        <v>0</v>
      </c>
      <c r="AO122" s="83">
        <v>0</v>
      </c>
      <c r="AP122" s="87">
        <v>0</v>
      </c>
      <c r="AQ122" s="88">
        <v>0.25</v>
      </c>
      <c r="AR122" s="81" t="s">
        <v>362</v>
      </c>
      <c r="AS122" s="941"/>
      <c r="AT122" s="85"/>
      <c r="AU122" s="947"/>
      <c r="AV122" s="83">
        <v>0</v>
      </c>
      <c r="AW122" s="83">
        <v>0</v>
      </c>
      <c r="AX122" s="83">
        <v>0</v>
      </c>
      <c r="AY122" s="83">
        <v>0</v>
      </c>
      <c r="AZ122" s="88">
        <v>0.25</v>
      </c>
      <c r="BA122" s="81" t="s">
        <v>362</v>
      </c>
      <c r="BB122" s="941"/>
      <c r="BC122" s="85"/>
      <c r="BD122" s="947"/>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5" x14ac:dyDescent="0.25">
      <c r="A123" s="80">
        <v>11900</v>
      </c>
      <c r="B123" s="79" t="s">
        <v>349</v>
      </c>
      <c r="C123" s="80" t="s">
        <v>357</v>
      </c>
      <c r="D123" s="79" t="s">
        <v>146</v>
      </c>
      <c r="E123" s="80" t="s">
        <v>372</v>
      </c>
      <c r="F123" s="79" t="s">
        <v>367</v>
      </c>
      <c r="G123" s="80" t="s">
        <v>123</v>
      </c>
      <c r="H123" s="93">
        <v>1</v>
      </c>
      <c r="I123" s="80" t="s">
        <v>459</v>
      </c>
      <c r="J123" s="81" t="s">
        <v>363</v>
      </c>
      <c r="K123" s="941"/>
      <c r="L123" s="944"/>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941"/>
      <c r="AB123" s="85"/>
      <c r="AC123" s="947"/>
      <c r="AD123" s="83">
        <v>0</v>
      </c>
      <c r="AE123" s="83">
        <v>0</v>
      </c>
      <c r="AF123" s="83">
        <v>0</v>
      </c>
      <c r="AG123" s="83">
        <v>0</v>
      </c>
      <c r="AH123" s="88">
        <v>0.25</v>
      </c>
      <c r="AI123" s="81" t="s">
        <v>363</v>
      </c>
      <c r="AJ123" s="941"/>
      <c r="AK123" s="85"/>
      <c r="AL123" s="950"/>
      <c r="AM123" s="83">
        <v>0</v>
      </c>
      <c r="AN123" s="83">
        <v>0</v>
      </c>
      <c r="AO123" s="83">
        <v>0</v>
      </c>
      <c r="AP123" s="87">
        <v>0</v>
      </c>
      <c r="AQ123" s="88">
        <v>0.25</v>
      </c>
      <c r="AR123" s="81" t="s">
        <v>363</v>
      </c>
      <c r="AS123" s="941"/>
      <c r="AT123" s="85"/>
      <c r="AU123" s="947"/>
      <c r="AV123" s="83">
        <v>0</v>
      </c>
      <c r="AW123" s="83">
        <v>0</v>
      </c>
      <c r="AX123" s="83">
        <v>0</v>
      </c>
      <c r="AY123" s="83">
        <v>0</v>
      </c>
      <c r="AZ123" s="88">
        <v>0.25</v>
      </c>
      <c r="BA123" s="81" t="s">
        <v>363</v>
      </c>
      <c r="BB123" s="941"/>
      <c r="BC123" s="85"/>
      <c r="BD123" s="947"/>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80" x14ac:dyDescent="0.25">
      <c r="A124" s="80">
        <v>11900</v>
      </c>
      <c r="B124" s="79" t="s">
        <v>349</v>
      </c>
      <c r="C124" s="80" t="s">
        <v>357</v>
      </c>
      <c r="D124" s="79" t="s">
        <v>146</v>
      </c>
      <c r="E124" s="80" t="s">
        <v>439</v>
      </c>
      <c r="F124" s="79" t="s">
        <v>715</v>
      </c>
      <c r="G124" s="80" t="s">
        <v>123</v>
      </c>
      <c r="H124" s="93">
        <v>1</v>
      </c>
      <c r="I124" s="80" t="s">
        <v>462</v>
      </c>
      <c r="J124" s="81" t="s">
        <v>691</v>
      </c>
      <c r="K124" s="941"/>
      <c r="L124" s="944"/>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941"/>
      <c r="AB124" s="85"/>
      <c r="AC124" s="947"/>
      <c r="AD124" s="83">
        <v>0</v>
      </c>
      <c r="AE124" s="83">
        <v>0</v>
      </c>
      <c r="AF124" s="83">
        <v>0</v>
      </c>
      <c r="AG124" s="83">
        <v>0</v>
      </c>
      <c r="AH124" s="88">
        <v>0.25</v>
      </c>
      <c r="AI124" s="81" t="s">
        <v>691</v>
      </c>
      <c r="AJ124" s="941"/>
      <c r="AK124" s="85"/>
      <c r="AL124" s="950"/>
      <c r="AM124" s="83">
        <v>0</v>
      </c>
      <c r="AN124" s="83">
        <v>0</v>
      </c>
      <c r="AO124" s="83">
        <v>0</v>
      </c>
      <c r="AP124" s="87">
        <v>0</v>
      </c>
      <c r="AQ124" s="88">
        <v>0.25</v>
      </c>
      <c r="AR124" s="81" t="s">
        <v>691</v>
      </c>
      <c r="AS124" s="941"/>
      <c r="AT124" s="85"/>
      <c r="AU124" s="947"/>
      <c r="AV124" s="83">
        <v>0</v>
      </c>
      <c r="AW124" s="83">
        <v>0</v>
      </c>
      <c r="AX124" s="83">
        <v>0</v>
      </c>
      <c r="AY124" s="83">
        <v>0</v>
      </c>
      <c r="AZ124" s="88">
        <v>0.25</v>
      </c>
      <c r="BA124" s="81" t="s">
        <v>691</v>
      </c>
      <c r="BB124" s="941"/>
      <c r="BC124" s="85"/>
      <c r="BD124" s="947"/>
      <c r="BE124" s="83">
        <v>0</v>
      </c>
      <c r="BF124" s="83">
        <v>0</v>
      </c>
      <c r="BG124" s="83">
        <v>0</v>
      </c>
      <c r="BH124" s="83">
        <v>0</v>
      </c>
      <c r="BI124" s="13"/>
      <c r="BJ124" s="13"/>
      <c r="BK124" s="17"/>
      <c r="BL124" s="13"/>
      <c r="BM124" s="15"/>
      <c r="BN124" s="13"/>
      <c r="BO124" s="13"/>
      <c r="BP124" s="13"/>
      <c r="BQ124" s="1"/>
    </row>
    <row r="125" spans="1:69" s="18" customFormat="1" ht="210" x14ac:dyDescent="0.25">
      <c r="A125" s="80">
        <v>11900</v>
      </c>
      <c r="B125" s="79" t="s">
        <v>349</v>
      </c>
      <c r="C125" s="80" t="s">
        <v>357</v>
      </c>
      <c r="D125" s="79" t="s">
        <v>146</v>
      </c>
      <c r="E125" s="80" t="s">
        <v>439</v>
      </c>
      <c r="F125" s="79" t="s">
        <v>715</v>
      </c>
      <c r="G125" s="80" t="s">
        <v>123</v>
      </c>
      <c r="H125" s="93">
        <v>1</v>
      </c>
      <c r="I125" s="80" t="s">
        <v>718</v>
      </c>
      <c r="J125" s="81" t="s">
        <v>444</v>
      </c>
      <c r="K125" s="942"/>
      <c r="L125" s="945"/>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942"/>
      <c r="AB125" s="85"/>
      <c r="AC125" s="948"/>
      <c r="AD125" s="83">
        <v>0</v>
      </c>
      <c r="AE125" s="83">
        <v>0</v>
      </c>
      <c r="AF125" s="83">
        <v>0</v>
      </c>
      <c r="AG125" s="83">
        <v>0</v>
      </c>
      <c r="AH125" s="88">
        <v>0.25</v>
      </c>
      <c r="AI125" s="79" t="s">
        <v>444</v>
      </c>
      <c r="AJ125" s="942"/>
      <c r="AK125" s="85"/>
      <c r="AL125" s="951"/>
      <c r="AM125" s="83">
        <v>0</v>
      </c>
      <c r="AN125" s="83">
        <v>0</v>
      </c>
      <c r="AO125" s="83">
        <v>0</v>
      </c>
      <c r="AP125" s="87">
        <v>0</v>
      </c>
      <c r="AQ125" s="88">
        <v>0.25</v>
      </c>
      <c r="AR125" s="79" t="s">
        <v>444</v>
      </c>
      <c r="AS125" s="942"/>
      <c r="AT125" s="85"/>
      <c r="AU125" s="948"/>
      <c r="AV125" s="83">
        <v>0</v>
      </c>
      <c r="AW125" s="83">
        <v>0</v>
      </c>
      <c r="AX125" s="83">
        <v>0</v>
      </c>
      <c r="AY125" s="83">
        <v>0</v>
      </c>
      <c r="AZ125" s="88">
        <v>0.25</v>
      </c>
      <c r="BA125" s="79" t="s">
        <v>444</v>
      </c>
      <c r="BB125" s="942"/>
      <c r="BC125" s="85"/>
      <c r="BD125" s="948"/>
      <c r="BE125" s="83">
        <v>0</v>
      </c>
      <c r="BF125" s="83">
        <v>0</v>
      </c>
      <c r="BG125" s="83">
        <v>0</v>
      </c>
      <c r="BH125" s="83">
        <v>0</v>
      </c>
      <c r="BI125" s="13"/>
      <c r="BJ125" s="13"/>
      <c r="BK125" s="17"/>
      <c r="BL125" s="13"/>
      <c r="BM125" s="15"/>
      <c r="BN125" s="13"/>
      <c r="BO125" s="13"/>
      <c r="BP125" s="13"/>
      <c r="BQ125" s="1"/>
    </row>
    <row r="126" spans="1:69" s="18" customFormat="1" ht="240" x14ac:dyDescent="0.25">
      <c r="A126" s="80">
        <v>11900</v>
      </c>
      <c r="B126" s="79" t="s">
        <v>349</v>
      </c>
      <c r="C126" s="80" t="s">
        <v>357</v>
      </c>
      <c r="D126" s="79" t="s">
        <v>146</v>
      </c>
      <c r="E126" s="80" t="s">
        <v>373</v>
      </c>
      <c r="F126" s="79" t="s">
        <v>364</v>
      </c>
      <c r="G126" s="80" t="s">
        <v>123</v>
      </c>
      <c r="H126" s="93">
        <v>1</v>
      </c>
      <c r="I126" s="80" t="s">
        <v>460</v>
      </c>
      <c r="J126" s="81" t="s">
        <v>368</v>
      </c>
      <c r="K126" s="940">
        <f>+'[1]Plan Adquisiciones'!G77+'[1]Plan Adquisiciones'!G78+'[1]Plan Adquisiciones'!G174+'[1]Plan Adquisiciones'!G175+'[1]Plan Adquisiciones'!G184+'[1]Plan Adquisiciones'!G89</f>
        <v>151084884</v>
      </c>
      <c r="L126" s="943">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940">
        <v>36014588</v>
      </c>
      <c r="AB126" s="85"/>
      <c r="AC126" s="946"/>
      <c r="AD126" s="83">
        <v>0</v>
      </c>
      <c r="AE126" s="83">
        <v>0</v>
      </c>
      <c r="AF126" s="83">
        <v>0</v>
      </c>
      <c r="AG126" s="83">
        <v>0</v>
      </c>
      <c r="AH126" s="88">
        <v>0.25</v>
      </c>
      <c r="AI126" s="81" t="s">
        <v>368</v>
      </c>
      <c r="AJ126" s="940">
        <v>36014588</v>
      </c>
      <c r="AK126" s="85"/>
      <c r="AL126" s="946"/>
      <c r="AM126" s="83">
        <v>0</v>
      </c>
      <c r="AN126" s="83">
        <v>0</v>
      </c>
      <c r="AO126" s="83">
        <v>0</v>
      </c>
      <c r="AP126" s="87">
        <v>0</v>
      </c>
      <c r="AQ126" s="88">
        <v>0.25</v>
      </c>
      <c r="AR126" s="81" t="s">
        <v>368</v>
      </c>
      <c r="AS126" s="940">
        <v>36014588</v>
      </c>
      <c r="AT126" s="85"/>
      <c r="AU126" s="946"/>
      <c r="AV126" s="83">
        <v>0</v>
      </c>
      <c r="AW126" s="83">
        <v>0</v>
      </c>
      <c r="AX126" s="83">
        <v>0</v>
      </c>
      <c r="AY126" s="83">
        <v>0</v>
      </c>
      <c r="AZ126" s="88">
        <v>0.25</v>
      </c>
      <c r="BA126" s="81" t="s">
        <v>368</v>
      </c>
      <c r="BB126" s="940">
        <v>36014588</v>
      </c>
      <c r="BC126" s="85"/>
      <c r="BD126" s="946"/>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95" x14ac:dyDescent="0.25">
      <c r="A127" s="80">
        <v>11900</v>
      </c>
      <c r="B127" s="79" t="s">
        <v>349</v>
      </c>
      <c r="C127" s="80" t="s">
        <v>357</v>
      </c>
      <c r="D127" s="79" t="s">
        <v>146</v>
      </c>
      <c r="E127" s="80" t="s">
        <v>435</v>
      </c>
      <c r="F127" s="79" t="s">
        <v>365</v>
      </c>
      <c r="G127" s="80" t="s">
        <v>123</v>
      </c>
      <c r="H127" s="93">
        <v>1</v>
      </c>
      <c r="I127" s="80" t="s">
        <v>461</v>
      </c>
      <c r="J127" s="81" t="s">
        <v>369</v>
      </c>
      <c r="K127" s="941"/>
      <c r="L127" s="944"/>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941"/>
      <c r="AB127" s="85"/>
      <c r="AC127" s="947"/>
      <c r="AD127" s="83">
        <v>0</v>
      </c>
      <c r="AE127" s="83">
        <v>0</v>
      </c>
      <c r="AF127" s="83">
        <v>0</v>
      </c>
      <c r="AG127" s="83">
        <v>0</v>
      </c>
      <c r="AH127" s="88">
        <v>0.25</v>
      </c>
      <c r="AI127" s="81" t="s">
        <v>369</v>
      </c>
      <c r="AJ127" s="941"/>
      <c r="AK127" s="85"/>
      <c r="AL127" s="947"/>
      <c r="AM127" s="83">
        <v>0</v>
      </c>
      <c r="AN127" s="83">
        <v>0</v>
      </c>
      <c r="AO127" s="83">
        <v>0</v>
      </c>
      <c r="AP127" s="87">
        <v>0</v>
      </c>
      <c r="AQ127" s="88">
        <v>0.25</v>
      </c>
      <c r="AR127" s="81" t="s">
        <v>369</v>
      </c>
      <c r="AS127" s="941"/>
      <c r="AT127" s="85"/>
      <c r="AU127" s="947"/>
      <c r="AV127" s="83">
        <v>0</v>
      </c>
      <c r="AW127" s="83">
        <v>0</v>
      </c>
      <c r="AX127" s="83">
        <v>0</v>
      </c>
      <c r="AY127" s="83">
        <v>0</v>
      </c>
      <c r="AZ127" s="88">
        <v>0.25</v>
      </c>
      <c r="BA127" s="81" t="s">
        <v>369</v>
      </c>
      <c r="BB127" s="941"/>
      <c r="BC127" s="85"/>
      <c r="BD127" s="947"/>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35" x14ac:dyDescent="0.25">
      <c r="A128" s="80">
        <v>11900</v>
      </c>
      <c r="B128" s="79" t="s">
        <v>349</v>
      </c>
      <c r="C128" s="80" t="s">
        <v>357</v>
      </c>
      <c r="D128" s="79" t="s">
        <v>146</v>
      </c>
      <c r="E128" s="80" t="s">
        <v>443</v>
      </c>
      <c r="F128" s="79" t="s">
        <v>568</v>
      </c>
      <c r="G128" s="80" t="s">
        <v>123</v>
      </c>
      <c r="H128" s="93">
        <v>1</v>
      </c>
      <c r="I128" s="80" t="s">
        <v>548</v>
      </c>
      <c r="J128" s="81" t="s">
        <v>697</v>
      </c>
      <c r="K128" s="942"/>
      <c r="L128" s="945"/>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942"/>
      <c r="AB128" s="85"/>
      <c r="AC128" s="948"/>
      <c r="AD128" s="83">
        <v>0</v>
      </c>
      <c r="AE128" s="83">
        <v>0</v>
      </c>
      <c r="AF128" s="83">
        <v>0</v>
      </c>
      <c r="AG128" s="83">
        <v>0</v>
      </c>
      <c r="AH128" s="88">
        <v>0.25</v>
      </c>
      <c r="AI128" s="79" t="s">
        <v>697</v>
      </c>
      <c r="AJ128" s="942"/>
      <c r="AK128" s="85"/>
      <c r="AL128" s="948"/>
      <c r="AM128" s="83">
        <v>0</v>
      </c>
      <c r="AN128" s="83">
        <v>0</v>
      </c>
      <c r="AO128" s="83">
        <v>0</v>
      </c>
      <c r="AP128" s="87">
        <v>0</v>
      </c>
      <c r="AQ128" s="88">
        <v>0.25</v>
      </c>
      <c r="AR128" s="79" t="s">
        <v>697</v>
      </c>
      <c r="AS128" s="942"/>
      <c r="AT128" s="85"/>
      <c r="AU128" s="948"/>
      <c r="AV128" s="83">
        <v>0</v>
      </c>
      <c r="AW128" s="83">
        <v>0</v>
      </c>
      <c r="AX128" s="83">
        <v>0</v>
      </c>
      <c r="AY128" s="83">
        <v>0</v>
      </c>
      <c r="AZ128" s="88">
        <v>0.25</v>
      </c>
      <c r="BA128" s="79" t="s">
        <v>697</v>
      </c>
      <c r="BB128" s="942"/>
      <c r="BC128" s="85"/>
      <c r="BD128" s="948"/>
      <c r="BE128" s="83">
        <v>0</v>
      </c>
      <c r="BF128" s="83">
        <v>0</v>
      </c>
      <c r="BG128" s="83">
        <v>0</v>
      </c>
      <c r="BH128" s="83">
        <v>0</v>
      </c>
      <c r="BI128" s="13"/>
      <c r="BJ128" s="13"/>
      <c r="BK128" s="17"/>
      <c r="BL128" s="13"/>
      <c r="BM128" s="15"/>
      <c r="BN128" s="13"/>
      <c r="BO128" s="13"/>
      <c r="BP128" s="13"/>
      <c r="BQ128" s="1"/>
    </row>
    <row r="129" spans="1:69" s="18" customFormat="1" ht="105" x14ac:dyDescent="0.25">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si="25"/>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 t="shared" ref="BI129:BI131" si="92">IF(AND(Y129=0,AB129=0),"No Prog ni Ejec",IF(Y129=0,CONCATENATE("No Prog, Ejec=  ",AB129),AB129/Y129))</f>
        <v>0</v>
      </c>
      <c r="BJ129" s="13" t="e">
        <f t="shared" ref="BJ129:BJ131" si="93">IF(AND(AA129=0,AC129=0),"No Prog ni Ejec",IF(AA129=0,CONCATENATE("No Prog, Ejec=  ",AC129),AC129/AA129))</f>
        <v>#N/A</v>
      </c>
      <c r="BK129" s="17">
        <f t="shared" ref="BK129:BK131" si="94">IF(AND(AH129=0,AK129=0),"No Prog ni Ejec",IF(AH129=0,CONCATENATE("No Prog, Ejec=  ",AK129),AK129/AH129))</f>
        <v>0</v>
      </c>
      <c r="BL129" s="13" t="e">
        <f t="shared" ref="BL129:BL131" si="95">IF(AND(AJ129=0,AL129=0),"No Prog ni Ejec",IF(AJ129=0,CONCATENATE("No Prog, Ejec=  ",AL129),AL129/AJ129))</f>
        <v>#N/A</v>
      </c>
      <c r="BM129" s="15">
        <f t="shared" ref="BM129:BM131" si="96">IF(AND(AQ129=0,AT129=0),"No Prog ni Ejec",IF(AQ129=0,CONCATENATE("No Prog, Ejec=  ",AT129),AT129/AQ129))</f>
        <v>0</v>
      </c>
      <c r="BN129" s="13" t="e">
        <f t="shared" ref="BN129:BN131" si="97">IF(AND(AS129=0,AU129=0),"No Prog ni Ejec",IF(AS129=0,CONCATENATE("No Prog, Ejec=  ",AU129),AU129/AS129))</f>
        <v>#N/A</v>
      </c>
      <c r="BO129" s="13">
        <f t="shared" ref="BO129:BO131" si="98">IF(AND(AZ129=0,BC129=0),"No Prog ni Ejec",IF(AZ129=0,CONCATENATE("No Prog, Ejec=  ",BC129),BC129/AZ129))</f>
        <v>0</v>
      </c>
      <c r="BP129" s="13" t="e">
        <f t="shared" ref="BP129:BP131" si="99">IF(AND(BB129=0,BD129=0),"No Prog ni Ejec",IF(BB129=0,CONCATENATE("No Prog, Ejec=  ",BD129),BD129/BB129))</f>
        <v>#N/A</v>
      </c>
      <c r="BQ129" s="1"/>
    </row>
    <row r="130" spans="1:69" s="18" customFormat="1" ht="105" x14ac:dyDescent="0.25">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25"/>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 t="shared" si="92"/>
        <v>0</v>
      </c>
      <c r="BJ130" s="13" t="str">
        <f t="shared" si="93"/>
        <v>No Prog ni Ejec</v>
      </c>
      <c r="BK130" s="17" t="str">
        <f t="shared" si="94"/>
        <v>No Prog ni Ejec</v>
      </c>
      <c r="BL130" s="13" t="str">
        <f t="shared" si="95"/>
        <v>No Prog ni Ejec</v>
      </c>
      <c r="BM130" s="15" t="str">
        <f t="shared" si="96"/>
        <v>No Prog ni Ejec</v>
      </c>
      <c r="BN130" s="13" t="str">
        <f t="shared" si="97"/>
        <v>No Prog ni Ejec</v>
      </c>
      <c r="BO130" s="13" t="str">
        <f t="shared" si="98"/>
        <v>No Prog ni Ejec</v>
      </c>
      <c r="BP130" s="13" t="str">
        <f t="shared" si="99"/>
        <v>No Prog ni Ejec</v>
      </c>
      <c r="BQ130" s="1"/>
    </row>
    <row r="131" spans="1:69" s="18" customFormat="1" ht="150" x14ac:dyDescent="0.25">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25"/>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 t="shared" si="92"/>
        <v>0</v>
      </c>
      <c r="BJ131" s="13" t="str">
        <f t="shared" si="93"/>
        <v>No Prog ni Ejec</v>
      </c>
      <c r="BK131" s="17">
        <f t="shared" si="94"/>
        <v>0</v>
      </c>
      <c r="BL131" s="13" t="str">
        <f t="shared" si="95"/>
        <v>No Prog ni Ejec</v>
      </c>
      <c r="BM131" s="15" t="str">
        <f t="shared" si="96"/>
        <v>No Prog ni Ejec</v>
      </c>
      <c r="BN131" s="13" t="str">
        <f t="shared" si="97"/>
        <v>No Prog ni Ejec</v>
      </c>
      <c r="BO131" s="13" t="str">
        <f t="shared" si="98"/>
        <v>No Prog ni Ejec</v>
      </c>
      <c r="BP131" s="13" t="str">
        <f t="shared" si="99"/>
        <v>No Prog ni Ejec</v>
      </c>
      <c r="BQ131" s="1"/>
    </row>
    <row r="132" spans="1:69" s="18" customFormat="1" ht="150" x14ac:dyDescent="0.25">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+(AB132/Y132)</f>
        <v>0</v>
      </c>
      <c r="AE132" s="83">
        <f>+(AC132/AA132)</f>
        <v>0</v>
      </c>
      <c r="AF132" s="83">
        <f>+(AB132/U132)</f>
        <v>0</v>
      </c>
      <c r="AG132" s="83">
        <f>+(AC132/W132)</f>
        <v>0</v>
      </c>
      <c r="AH132" s="83">
        <v>0.25</v>
      </c>
      <c r="AI132" s="79" t="s">
        <v>452</v>
      </c>
      <c r="AJ132" s="82">
        <v>13940202</v>
      </c>
      <c r="AK132" s="85"/>
      <c r="AL132" s="85"/>
      <c r="AM132" s="83">
        <f>+(AK132/AH132)</f>
        <v>0</v>
      </c>
      <c r="AN132" s="83">
        <f>+(AL132/AJ132)</f>
        <v>0</v>
      </c>
      <c r="AO132" s="83">
        <f>+(AK132+AB132)/U132</f>
        <v>0</v>
      </c>
      <c r="AP132" s="87">
        <f>+(AL132+AC132)/W132</f>
        <v>0</v>
      </c>
      <c r="AQ132" s="83">
        <v>0.25</v>
      </c>
      <c r="AR132" s="79" t="s">
        <v>452</v>
      </c>
      <c r="AS132" s="82">
        <v>13940202</v>
      </c>
      <c r="AT132" s="85"/>
      <c r="AU132" s="85"/>
      <c r="AV132" s="83">
        <f>+(AT132/AQ132)</f>
        <v>0</v>
      </c>
      <c r="AW132" s="83">
        <f>+(AU132/AS132)</f>
        <v>0</v>
      </c>
      <c r="AX132" s="83">
        <f>+(AK132+AB132+AT132)/U132</f>
        <v>0</v>
      </c>
      <c r="AY132" s="83">
        <f>+(AL132+AC132+AU132)/W132</f>
        <v>0</v>
      </c>
      <c r="AZ132" s="83">
        <v>0.25</v>
      </c>
      <c r="BA132" s="79" t="s">
        <v>452</v>
      </c>
      <c r="BB132" s="82">
        <v>13940202</v>
      </c>
      <c r="BC132" s="85"/>
      <c r="BD132" s="85"/>
      <c r="BE132" s="83">
        <f>+(BC132/AZ132)</f>
        <v>0</v>
      </c>
      <c r="BF132" s="83">
        <f>+(BD132/BB132)</f>
        <v>0</v>
      </c>
      <c r="BG132" s="83">
        <f>+(AK132+AB132+AT132+BC132)/U132</f>
        <v>0</v>
      </c>
      <c r="BH132" s="83">
        <f>+(AL132+AC132+AU132+BD132)/W132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5" x14ac:dyDescent="0.25">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ref="AD133:AD137" si="100">+(AB133/Y133)</f>
        <v>0</v>
      </c>
      <c r="AE133" s="40" t="e">
        <f t="shared" ref="AE133:AE137" si="101">+(AC133/AA133)</f>
        <v>#DIV/0!</v>
      </c>
      <c r="AF133" s="40">
        <f t="shared" ref="AF133:AF137" si="102">+(AB133/U133)</f>
        <v>0</v>
      </c>
      <c r="AG133" s="40" t="e">
        <f t="shared" ref="AG133:AG137" si="103">+(AC133/W133)</f>
        <v>#DIV/0!</v>
      </c>
      <c r="AH133" s="39">
        <v>1</v>
      </c>
      <c r="AI133" s="38" t="str">
        <f>+$J$133</f>
        <v>Reportar el cumplimiento del Plan de Acción de la Dependencia</v>
      </c>
      <c r="AJ133" s="39">
        <v>0</v>
      </c>
      <c r="AK133" s="39"/>
      <c r="AL133" s="39"/>
      <c r="AM133" s="40">
        <f t="shared" ref="AM133:AM137" si="104">+(AK133/AH133)</f>
        <v>0</v>
      </c>
      <c r="AN133" s="40" t="e">
        <f t="shared" ref="AN133:AN137" si="105">+(AL133/AJ133)</f>
        <v>#DIV/0!</v>
      </c>
      <c r="AO133" s="40">
        <f t="shared" ref="AO133:AO137" si="106">+(AK133+AB133)/U133</f>
        <v>0</v>
      </c>
      <c r="AP133" s="43" t="e">
        <f t="shared" ref="AP133:AP137" si="107">+(AL133+AC133)/W133</f>
        <v>#DIV/0!</v>
      </c>
      <c r="AQ133" s="39">
        <v>1</v>
      </c>
      <c r="AR133" s="38" t="str">
        <f>+$J$133</f>
        <v>Reportar el cumplimiento del Plan de Acción de la Dependencia</v>
      </c>
      <c r="AS133" s="39">
        <v>0</v>
      </c>
      <c r="AT133" s="39"/>
      <c r="AU133" s="39"/>
      <c r="AV133" s="40">
        <f t="shared" ref="AV133:AV137" si="108">+(AT133/AQ133)</f>
        <v>0</v>
      </c>
      <c r="AW133" s="40" t="e">
        <f t="shared" ref="AW133:AW137" si="109">+(AU133/AS133)</f>
        <v>#DIV/0!</v>
      </c>
      <c r="AX133" s="40">
        <f t="shared" ref="AX133:AX137" si="110">+(AK133+AB133+AT133)/U133</f>
        <v>0</v>
      </c>
      <c r="AY133" s="40" t="e">
        <f t="shared" ref="AY133:AY137" si="111">+(AL133+AC133+AU133)/W133</f>
        <v>#DIV/0!</v>
      </c>
      <c r="AZ133" s="39">
        <v>1</v>
      </c>
      <c r="BA133" s="38" t="str">
        <f>+$J$133</f>
        <v>Reportar el cumplimiento del Plan de Acción de la Dependencia</v>
      </c>
      <c r="BB133" s="39">
        <v>0</v>
      </c>
      <c r="BC133" s="39"/>
      <c r="BD133" s="39"/>
      <c r="BE133" s="40">
        <f t="shared" ref="BE133:BE137" si="112">+(BC133/AZ133)</f>
        <v>0</v>
      </c>
      <c r="BF133" s="40" t="e">
        <f t="shared" ref="BF133:BF137" si="113">+(BD133/BB133)</f>
        <v>#DIV/0!</v>
      </c>
      <c r="BG133" s="40">
        <f t="shared" ref="BG133:BG137" si="114">+(AK133+AB133+AT133+BC133)/U133</f>
        <v>0</v>
      </c>
      <c r="BH133" s="40" t="e">
        <f t="shared" ref="BH133:BH137" si="115">+(AL133+AC133+AU133+BD133)/W133</f>
        <v>#DIV/0!</v>
      </c>
      <c r="BI133" s="44">
        <f t="shared" ref="BI133:BI137" si="116">IF(AND(Y133=0,AB133=0),"No Prog ni Ejec",IF(Y133=0,CONCATENATE("No Prog, Ejec=  ",AB133),AB133/Y133))</f>
        <v>0</v>
      </c>
      <c r="BJ133" s="44" t="str">
        <f t="shared" ref="BJ133:BJ137" si="117">IF(AND(AA133=0,AC133=0),"No Prog ni Ejec",IF(AA133=0,CONCATENATE("No Prog, Ejec=  ",AC133),AC133/AA133))</f>
        <v>No Prog ni Ejec</v>
      </c>
      <c r="BK133" s="44">
        <f t="shared" ref="BK133:BK137" si="118">IF(AND(AH133=0,AK133=0),"No Prog ni Ejec",IF(AH133=0,CONCATENATE("No Prog, Ejec=  ",AK133),AK133/AH133))</f>
        <v>0</v>
      </c>
      <c r="BL133" s="44" t="str">
        <f t="shared" ref="BL133:BL137" si="119">IF(AND(AJ133=0,AL133=0),"No Prog ni Ejec",IF(AJ133=0,CONCATENATE("No Prog, Ejec=  ",AL133),AL133/AJ133))</f>
        <v>No Prog ni Ejec</v>
      </c>
      <c r="BM133" s="44">
        <f t="shared" ref="BM133:BM137" si="120">IF(AND(AQ133=0,AT133=0),"No Prog ni Ejec",IF(AQ133=0,CONCATENATE("No Prog, Ejec=  ",AT133),AT133/AQ133))</f>
        <v>0</v>
      </c>
      <c r="BN133" s="44" t="str">
        <f t="shared" ref="BN133:BN137" si="121">IF(AND(AS133=0,AU133=0),"No Prog ni Ejec",IF(AS133=0,CONCATENATE("No Prog, Ejec=  ",AU133),AU133/AS133))</f>
        <v>No Prog ni Ejec</v>
      </c>
      <c r="BO133" s="44">
        <f t="shared" ref="BO133:BO137" si="122">IF(AND(AZ133=0,BC133=0),"No Prog ni Ejec",IF(AZ133=0,CONCATENATE("No Prog, Ejec=  ",BC133),BC133/AZ133))</f>
        <v>0</v>
      </c>
      <c r="BP133" s="44" t="str">
        <f t="shared" ref="BP133:BP137" si="123">IF(AND(BB133=0,BD133=0),"No Prog ni Ejec",IF(BB133=0,CONCATENATE("No Prog, Ejec=  ",BD133),BD133/BB133))</f>
        <v>No Prog ni Ejec</v>
      </c>
      <c r="BQ133" s="42"/>
    </row>
    <row r="134" spans="1:69" s="45" customFormat="1" ht="105" x14ac:dyDescent="0.25">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100"/>
        <v>0</v>
      </c>
      <c r="AE134" s="40" t="e">
        <f t="shared" si="101"/>
        <v>#DIV/0!</v>
      </c>
      <c r="AF134" s="40">
        <f t="shared" si="102"/>
        <v>0</v>
      </c>
      <c r="AG134" s="40" t="e">
        <f t="shared" si="103"/>
        <v>#DIV/0!</v>
      </c>
      <c r="AH134" s="39">
        <v>1</v>
      </c>
      <c r="AI134" s="38" t="str">
        <f>+$J$134</f>
        <v xml:space="preserve">Reportar el cumplimiento de la ejecución del Plan de Acción </v>
      </c>
      <c r="AJ134" s="39">
        <v>0</v>
      </c>
      <c r="AK134" s="42"/>
      <c r="AL134" s="42"/>
      <c r="AM134" s="40">
        <f t="shared" si="104"/>
        <v>0</v>
      </c>
      <c r="AN134" s="40" t="e">
        <f t="shared" si="105"/>
        <v>#DIV/0!</v>
      </c>
      <c r="AO134" s="40">
        <f t="shared" si="106"/>
        <v>0</v>
      </c>
      <c r="AP134" s="43" t="e">
        <f t="shared" si="107"/>
        <v>#DIV/0!</v>
      </c>
      <c r="AQ134" s="39">
        <v>1</v>
      </c>
      <c r="AR134" s="38" t="str">
        <f>+$J$134</f>
        <v xml:space="preserve">Reportar el cumplimiento de la ejecución del Plan de Acción </v>
      </c>
      <c r="AS134" s="39">
        <v>0</v>
      </c>
      <c r="AT134" s="42"/>
      <c r="AU134" s="42"/>
      <c r="AV134" s="40">
        <f t="shared" si="108"/>
        <v>0</v>
      </c>
      <c r="AW134" s="40" t="e">
        <f t="shared" si="109"/>
        <v>#DIV/0!</v>
      </c>
      <c r="AX134" s="40">
        <f t="shared" si="110"/>
        <v>0</v>
      </c>
      <c r="AY134" s="40" t="e">
        <f t="shared" si="111"/>
        <v>#DIV/0!</v>
      </c>
      <c r="AZ134" s="39">
        <v>1</v>
      </c>
      <c r="BA134" s="38" t="str">
        <f>+$J$134</f>
        <v xml:space="preserve">Reportar el cumplimiento de la ejecución del Plan de Acción </v>
      </c>
      <c r="BB134" s="39">
        <v>0</v>
      </c>
      <c r="BC134" s="42"/>
      <c r="BD134" s="42"/>
      <c r="BE134" s="40">
        <f t="shared" si="112"/>
        <v>0</v>
      </c>
      <c r="BF134" s="40" t="e">
        <f t="shared" si="113"/>
        <v>#DIV/0!</v>
      </c>
      <c r="BG134" s="40">
        <f t="shared" si="114"/>
        <v>0</v>
      </c>
      <c r="BH134" s="40" t="e">
        <f t="shared" si="115"/>
        <v>#DIV/0!</v>
      </c>
      <c r="BI134" s="44">
        <f t="shared" si="116"/>
        <v>0</v>
      </c>
      <c r="BJ134" s="44" t="str">
        <f t="shared" si="117"/>
        <v>No Prog ni Ejec</v>
      </c>
      <c r="BK134" s="44">
        <f t="shared" si="118"/>
        <v>0</v>
      </c>
      <c r="BL134" s="44" t="str">
        <f t="shared" si="119"/>
        <v>No Prog ni Ejec</v>
      </c>
      <c r="BM134" s="44">
        <f t="shared" si="120"/>
        <v>0</v>
      </c>
      <c r="BN134" s="44" t="str">
        <f t="shared" si="121"/>
        <v>No Prog ni Ejec</v>
      </c>
      <c r="BO134" s="44">
        <f t="shared" si="122"/>
        <v>0</v>
      </c>
      <c r="BP134" s="44" t="str">
        <f t="shared" si="123"/>
        <v>No Prog ni Ejec</v>
      </c>
      <c r="BQ134" s="42"/>
    </row>
    <row r="135" spans="1:69" s="45" customFormat="1" ht="105" x14ac:dyDescent="0.25">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100"/>
        <v>0</v>
      </c>
      <c r="AE135" s="40">
        <f t="shared" si="101"/>
        <v>0</v>
      </c>
      <c r="AF135" s="40">
        <f t="shared" si="102"/>
        <v>0</v>
      </c>
      <c r="AG135" s="40">
        <f t="shared" si="103"/>
        <v>0</v>
      </c>
      <c r="AH135" s="40">
        <v>0.25</v>
      </c>
      <c r="AI135" s="38" t="str">
        <f>+$J$135</f>
        <v>Asesorar y apoyar en la implementación de MIPG</v>
      </c>
      <c r="AJ135" s="39">
        <v>15410517</v>
      </c>
      <c r="AK135" s="42"/>
      <c r="AL135" s="42"/>
      <c r="AM135" s="40">
        <f t="shared" si="104"/>
        <v>0</v>
      </c>
      <c r="AN135" s="40">
        <f t="shared" si="105"/>
        <v>0</v>
      </c>
      <c r="AO135" s="40">
        <f t="shared" si="106"/>
        <v>0</v>
      </c>
      <c r="AP135" s="43">
        <f t="shared" si="107"/>
        <v>0</v>
      </c>
      <c r="AQ135" s="40">
        <v>0.25</v>
      </c>
      <c r="AR135" s="38" t="str">
        <f>+$J$135</f>
        <v>Asesorar y apoyar en la implementación de MIPG</v>
      </c>
      <c r="AS135" s="39">
        <v>15410517</v>
      </c>
      <c r="AT135" s="42"/>
      <c r="AU135" s="42"/>
      <c r="AV135" s="40">
        <f t="shared" si="108"/>
        <v>0</v>
      </c>
      <c r="AW135" s="40">
        <f t="shared" si="109"/>
        <v>0</v>
      </c>
      <c r="AX135" s="40">
        <f t="shared" si="110"/>
        <v>0</v>
      </c>
      <c r="AY135" s="40">
        <f t="shared" si="111"/>
        <v>0</v>
      </c>
      <c r="AZ135" s="40">
        <v>0.25</v>
      </c>
      <c r="BA135" s="38" t="str">
        <f>+$J$135</f>
        <v>Asesorar y apoyar en la implementación de MIPG</v>
      </c>
      <c r="BB135" s="39">
        <v>15410517</v>
      </c>
      <c r="BC135" s="42"/>
      <c r="BD135" s="42"/>
      <c r="BE135" s="40">
        <f t="shared" si="112"/>
        <v>0</v>
      </c>
      <c r="BF135" s="40">
        <f t="shared" si="113"/>
        <v>0</v>
      </c>
      <c r="BG135" s="40">
        <f t="shared" si="114"/>
        <v>0</v>
      </c>
      <c r="BH135" s="40">
        <f t="shared" si="115"/>
        <v>0</v>
      </c>
      <c r="BI135" s="44">
        <f t="shared" si="116"/>
        <v>0</v>
      </c>
      <c r="BJ135" s="44">
        <f t="shared" si="117"/>
        <v>0</v>
      </c>
      <c r="BK135" s="44">
        <f t="shared" si="118"/>
        <v>0</v>
      </c>
      <c r="BL135" s="44">
        <f t="shared" si="119"/>
        <v>0</v>
      </c>
      <c r="BM135" s="44">
        <f t="shared" si="120"/>
        <v>0</v>
      </c>
      <c r="BN135" s="44">
        <f t="shared" si="121"/>
        <v>0</v>
      </c>
      <c r="BO135" s="44">
        <f t="shared" si="122"/>
        <v>0</v>
      </c>
      <c r="BP135" s="44">
        <f t="shared" si="123"/>
        <v>0</v>
      </c>
      <c r="BQ135" s="42"/>
    </row>
    <row r="136" spans="1:69" s="45" customFormat="1" ht="105" x14ac:dyDescent="0.25">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100"/>
        <v>#DIV/0!</v>
      </c>
      <c r="AE136" s="40" t="e">
        <f t="shared" si="101"/>
        <v>#DIV/0!</v>
      </c>
      <c r="AF136" s="40" t="e">
        <f t="shared" si="102"/>
        <v>#DIV/0!</v>
      </c>
      <c r="AG136" s="40" t="e">
        <f t="shared" si="103"/>
        <v>#DIV/0!</v>
      </c>
      <c r="AH136" s="39">
        <v>0</v>
      </c>
      <c r="AI136" s="38" t="str">
        <f>+$J$136</f>
        <v>Elaboración del Informe de Rendición de Cuentas al Congreso de la República 2017-2018</v>
      </c>
      <c r="AJ136" s="39">
        <v>0</v>
      </c>
      <c r="AK136" s="42"/>
      <c r="AL136" s="42"/>
      <c r="AM136" s="40" t="e">
        <f t="shared" si="104"/>
        <v>#DIV/0!</v>
      </c>
      <c r="AN136" s="40" t="e">
        <f t="shared" si="105"/>
        <v>#DIV/0!</v>
      </c>
      <c r="AO136" s="40" t="e">
        <f t="shared" si="106"/>
        <v>#DIV/0!</v>
      </c>
      <c r="AP136" s="43" t="e">
        <f t="shared" si="107"/>
        <v>#DIV/0!</v>
      </c>
      <c r="AQ136" s="39">
        <v>1</v>
      </c>
      <c r="AR136" s="38" t="str">
        <f>+$J$136</f>
        <v>Elaboración del Informe de Rendición de Cuentas al Congreso de la República 2017-2018</v>
      </c>
      <c r="AS136" s="39">
        <v>0</v>
      </c>
      <c r="AT136" s="42"/>
      <c r="AU136" s="42"/>
      <c r="AV136" s="40">
        <f t="shared" si="108"/>
        <v>0</v>
      </c>
      <c r="AW136" s="40" t="e">
        <f>+(AU136/AS136)</f>
        <v>#DIV/0!</v>
      </c>
      <c r="AX136" s="40" t="e">
        <f t="shared" si="110"/>
        <v>#DIV/0!</v>
      </c>
      <c r="AY136" s="40" t="e">
        <f t="shared" si="111"/>
        <v>#DIV/0!</v>
      </c>
      <c r="AZ136" s="39">
        <v>0</v>
      </c>
      <c r="BA136" s="38" t="str">
        <f>+$J$136</f>
        <v>Elaboración del Informe de Rendición de Cuentas al Congreso de la República 2017-2018</v>
      </c>
      <c r="BB136" s="39">
        <v>0</v>
      </c>
      <c r="BC136" s="42"/>
      <c r="BD136" s="42"/>
      <c r="BE136" s="40" t="e">
        <f t="shared" si="112"/>
        <v>#DIV/0!</v>
      </c>
      <c r="BF136" s="40" t="e">
        <f t="shared" si="113"/>
        <v>#DIV/0!</v>
      </c>
      <c r="BG136" s="40" t="e">
        <f t="shared" si="114"/>
        <v>#DIV/0!</v>
      </c>
      <c r="BH136" s="40" t="e">
        <f t="shared" si="115"/>
        <v>#DIV/0!</v>
      </c>
      <c r="BI136" s="44" t="str">
        <f t="shared" si="116"/>
        <v>No Prog ni Ejec</v>
      </c>
      <c r="BJ136" s="44" t="str">
        <f t="shared" si="117"/>
        <v>No Prog ni Ejec</v>
      </c>
      <c r="BK136" s="44" t="str">
        <f t="shared" si="118"/>
        <v>No Prog ni Ejec</v>
      </c>
      <c r="BL136" s="44" t="str">
        <f t="shared" si="119"/>
        <v>No Prog ni Ejec</v>
      </c>
      <c r="BM136" s="44">
        <f t="shared" si="120"/>
        <v>0</v>
      </c>
      <c r="BN136" s="44" t="str">
        <f t="shared" si="121"/>
        <v>No Prog ni Ejec</v>
      </c>
      <c r="BO136" s="44" t="str">
        <f t="shared" si="122"/>
        <v>No Prog ni Ejec</v>
      </c>
      <c r="BP136" s="44" t="str">
        <f t="shared" si="123"/>
        <v>No Prog ni Ejec</v>
      </c>
      <c r="BQ136" s="42"/>
    </row>
    <row r="137" spans="1:69" ht="30" x14ac:dyDescent="0.25">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100"/>
        <v>#DIV/0!</v>
      </c>
      <c r="AE137" s="143" t="e">
        <f t="shared" si="101"/>
        <v>#DIV/0!</v>
      </c>
      <c r="AF137" s="143" t="e">
        <f t="shared" si="102"/>
        <v>#DIV/0!</v>
      </c>
      <c r="AG137" s="143" t="e">
        <f t="shared" si="103"/>
        <v>#DIV/0!</v>
      </c>
      <c r="AH137" s="1"/>
      <c r="AI137" s="1"/>
      <c r="AJ137" s="1"/>
      <c r="AK137" s="1"/>
      <c r="AL137" s="1"/>
      <c r="AM137" s="143" t="e">
        <f t="shared" si="104"/>
        <v>#DIV/0!</v>
      </c>
      <c r="AN137" s="143" t="e">
        <f t="shared" si="105"/>
        <v>#DIV/0!</v>
      </c>
      <c r="AO137" s="143" t="e">
        <f t="shared" si="106"/>
        <v>#DIV/0!</v>
      </c>
      <c r="AP137" s="144" t="e">
        <f t="shared" si="107"/>
        <v>#DIV/0!</v>
      </c>
      <c r="AQ137" s="1"/>
      <c r="AR137" s="1"/>
      <c r="AS137" s="1"/>
      <c r="AT137" s="1"/>
      <c r="AU137" s="1"/>
      <c r="AV137" s="143" t="e">
        <f t="shared" si="108"/>
        <v>#DIV/0!</v>
      </c>
      <c r="AW137" s="143" t="e">
        <f t="shared" si="109"/>
        <v>#DIV/0!</v>
      </c>
      <c r="AX137" s="145" t="e">
        <f t="shared" si="110"/>
        <v>#DIV/0!</v>
      </c>
      <c r="AY137" s="145" t="e">
        <f t="shared" si="111"/>
        <v>#DIV/0!</v>
      </c>
      <c r="AZ137" s="129"/>
      <c r="BA137" s="1"/>
      <c r="BB137" s="1"/>
      <c r="BC137" s="1"/>
      <c r="BD137" s="1"/>
      <c r="BE137" s="143" t="e">
        <f t="shared" si="112"/>
        <v>#DIV/0!</v>
      </c>
      <c r="BF137" s="143" t="e">
        <f t="shared" si="113"/>
        <v>#DIV/0!</v>
      </c>
      <c r="BG137" s="143" t="e">
        <f t="shared" si="114"/>
        <v>#DIV/0!</v>
      </c>
      <c r="BH137" s="143" t="e">
        <f t="shared" si="115"/>
        <v>#DIV/0!</v>
      </c>
      <c r="BI137" s="13" t="str">
        <f t="shared" si="116"/>
        <v>No Prog ni Ejec</v>
      </c>
      <c r="BJ137" s="13" t="str">
        <f t="shared" si="117"/>
        <v>No Prog ni Ejec</v>
      </c>
      <c r="BK137" s="17" t="str">
        <f t="shared" si="118"/>
        <v>No Prog ni Ejec</v>
      </c>
      <c r="BL137" s="13" t="str">
        <f t="shared" si="119"/>
        <v>No Prog ni Ejec</v>
      </c>
      <c r="BM137" s="15" t="str">
        <f t="shared" si="120"/>
        <v>No Prog ni Ejec</v>
      </c>
      <c r="BN137" s="13" t="str">
        <f t="shared" si="121"/>
        <v>No Prog ni Ejec</v>
      </c>
      <c r="BO137" s="13" t="str">
        <f t="shared" si="122"/>
        <v>No Prog ni Ejec</v>
      </c>
      <c r="BP137" s="13" t="str">
        <f t="shared" si="123"/>
        <v>No Prog ni Ejec</v>
      </c>
      <c r="BQ137" s="1"/>
    </row>
    <row r="138" spans="1:69" x14ac:dyDescent="0.25">
      <c r="BB138" t="s">
        <v>738</v>
      </c>
    </row>
    <row r="139" spans="1:69" x14ac:dyDescent="0.25">
      <c r="BJ139" s="952" t="s">
        <v>739</v>
      </c>
      <c r="BK139" s="952"/>
      <c r="BL139" s="952"/>
      <c r="BM139" s="952"/>
      <c r="BN139" s="952"/>
      <c r="BO139" s="952"/>
    </row>
    <row r="140" spans="1:69" x14ac:dyDescent="0.25">
      <c r="BJ140" s="953" t="s">
        <v>740</v>
      </c>
      <c r="BK140" s="953"/>
      <c r="BL140" s="954" t="s">
        <v>741</v>
      </c>
      <c r="BM140" s="954"/>
      <c r="BN140" s="954"/>
      <c r="BO140" s="954"/>
    </row>
    <row r="141" spans="1:69" x14ac:dyDescent="0.25">
      <c r="BJ141" s="958" t="s">
        <v>742</v>
      </c>
      <c r="BK141" s="958"/>
      <c r="BL141" s="959" t="s">
        <v>743</v>
      </c>
      <c r="BM141" s="959"/>
      <c r="BN141" s="959"/>
      <c r="BO141" s="959"/>
    </row>
    <row r="142" spans="1:69" x14ac:dyDescent="0.25">
      <c r="BJ142" s="960" t="s">
        <v>744</v>
      </c>
      <c r="BK142" s="960"/>
      <c r="BL142" s="954" t="s">
        <v>745</v>
      </c>
      <c r="BM142" s="954"/>
      <c r="BN142" s="954"/>
      <c r="BO142" s="954"/>
    </row>
    <row r="143" spans="1:69" x14ac:dyDescent="0.25">
      <c r="BJ143" s="961" t="s">
        <v>746</v>
      </c>
      <c r="BK143" s="961"/>
      <c r="BL143" s="954" t="s">
        <v>747</v>
      </c>
      <c r="BM143" s="954"/>
      <c r="BN143" s="954"/>
      <c r="BO143" s="954"/>
    </row>
    <row r="144" spans="1:69" x14ac:dyDescent="0.25">
      <c r="BJ144" s="955">
        <v>1</v>
      </c>
      <c r="BK144" s="955"/>
      <c r="BL144" s="954" t="s">
        <v>748</v>
      </c>
      <c r="BM144" s="954"/>
      <c r="BN144" s="954"/>
      <c r="BO144" s="954"/>
    </row>
    <row r="145" spans="1:67" x14ac:dyDescent="0.25">
      <c r="BJ145" s="956" t="s">
        <v>749</v>
      </c>
      <c r="BK145" s="956"/>
      <c r="BL145" s="957" t="s">
        <v>750</v>
      </c>
      <c r="BM145" s="957"/>
      <c r="BN145" s="957"/>
      <c r="BO145" s="957"/>
    </row>
    <row r="146" spans="1:67" ht="165" x14ac:dyDescent="0.25">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105" x14ac:dyDescent="0.25">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20" x14ac:dyDescent="0.25">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 t="shared" ref="AD148:AD150" si="124">+(AB148/Y148)</f>
        <v>0</v>
      </c>
      <c r="AE148" s="83" t="e">
        <f t="shared" ref="AE148:AE149" si="125">+(AC148/AA148)</f>
        <v>#DIV/0!</v>
      </c>
      <c r="AF148" s="83">
        <f t="shared" ref="AF148:AF152" si="126">+(AB148/U148)</f>
        <v>0</v>
      </c>
      <c r="AG148" s="83" t="e">
        <f t="shared" ref="AG148:AG149" si="127">+(AC148/W148)</f>
        <v>#DIV/0!</v>
      </c>
      <c r="AH148" s="83">
        <v>0.3</v>
      </c>
      <c r="AI148" s="81" t="s">
        <v>702</v>
      </c>
      <c r="AJ148" s="82">
        <v>0</v>
      </c>
      <c r="AK148" s="85"/>
      <c r="AL148" s="85"/>
      <c r="AM148" s="83">
        <f t="shared" ref="AM148:AM149" si="128">+(AK148/AH148)</f>
        <v>0</v>
      </c>
      <c r="AN148" s="83" t="e">
        <f t="shared" ref="AN148:AN149" si="129">+(AL148/AJ148)</f>
        <v>#DIV/0!</v>
      </c>
      <c r="AO148" s="83">
        <f t="shared" ref="AO148:AO152" si="130">+(AK148+AB148)/U148</f>
        <v>0</v>
      </c>
      <c r="AP148" s="87" t="e">
        <f t="shared" ref="AP148:AP149" si="131">+(AL148+AC148)/W148</f>
        <v>#DIV/0!</v>
      </c>
      <c r="AQ148" s="83">
        <v>0.3</v>
      </c>
      <c r="AR148" s="81" t="s">
        <v>702</v>
      </c>
      <c r="AS148" s="82">
        <v>0</v>
      </c>
      <c r="AT148" s="85"/>
      <c r="AU148" s="85"/>
      <c r="AV148" s="83">
        <f t="shared" ref="AV148:AV149" si="132">+(AT148/AQ148)</f>
        <v>0</v>
      </c>
      <c r="AW148" s="83" t="e">
        <f t="shared" ref="AW148:AW149" si="133">+(AU148/AS148)</f>
        <v>#DIV/0!</v>
      </c>
      <c r="AX148" s="83">
        <f t="shared" ref="AX148:AX152" si="134">+(AK148+AB148+AT148)/U148</f>
        <v>0</v>
      </c>
      <c r="AY148" s="83" t="e">
        <f t="shared" ref="AY148:AY149" si="135">+(AL148+AC148+AU148)/W148</f>
        <v>#DIV/0!</v>
      </c>
      <c r="AZ148" s="83">
        <v>0.3</v>
      </c>
      <c r="BA148" s="81" t="s">
        <v>702</v>
      </c>
      <c r="BB148" s="82">
        <v>0</v>
      </c>
      <c r="BC148" s="85"/>
      <c r="BD148" s="85"/>
      <c r="BE148" s="83">
        <f t="shared" ref="BE148:BE149" si="136">+(BC148/AZ148)</f>
        <v>0</v>
      </c>
      <c r="BF148" s="83" t="e">
        <f t="shared" ref="BF148:BF149" si="137">+(BD148/BB148)</f>
        <v>#DIV/0!</v>
      </c>
      <c r="BG148" s="83">
        <f t="shared" ref="BG148:BG152" si="138">+(AK148+AB148+AT148+BC148)/U148</f>
        <v>0</v>
      </c>
      <c r="BH148" s="83" t="e">
        <f t="shared" ref="BH148:BH149" si="139">+(AL148+AC148+AU148+BD148)/W148</f>
        <v>#DIV/0!</v>
      </c>
    </row>
    <row r="149" spans="1:67" ht="105" x14ac:dyDescent="0.25">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 t="shared" si="124"/>
        <v>0</v>
      </c>
      <c r="AE149" s="83" t="e">
        <f t="shared" si="125"/>
        <v>#DIV/0!</v>
      </c>
      <c r="AF149" s="83">
        <f t="shared" si="126"/>
        <v>0</v>
      </c>
      <c r="AG149" s="83" t="e">
        <f t="shared" si="127"/>
        <v>#DIV/0!</v>
      </c>
      <c r="AH149" s="83">
        <v>0.25</v>
      </c>
      <c r="AI149" s="81" t="s">
        <v>705</v>
      </c>
      <c r="AJ149" s="85"/>
      <c r="AK149" s="85"/>
      <c r="AL149" s="85"/>
      <c r="AM149" s="83">
        <f t="shared" si="128"/>
        <v>0</v>
      </c>
      <c r="AN149" s="83" t="e">
        <f t="shared" si="129"/>
        <v>#DIV/0!</v>
      </c>
      <c r="AO149" s="83">
        <f t="shared" si="130"/>
        <v>0</v>
      </c>
      <c r="AP149" s="87" t="e">
        <f t="shared" si="131"/>
        <v>#DIV/0!</v>
      </c>
      <c r="AQ149" s="83">
        <v>0.25</v>
      </c>
      <c r="AR149" s="81" t="s">
        <v>705</v>
      </c>
      <c r="AS149" s="85"/>
      <c r="AT149" s="85"/>
      <c r="AU149" s="85"/>
      <c r="AV149" s="83">
        <f t="shared" si="132"/>
        <v>0</v>
      </c>
      <c r="AW149" s="83" t="e">
        <f t="shared" si="133"/>
        <v>#DIV/0!</v>
      </c>
      <c r="AX149" s="83">
        <f t="shared" si="134"/>
        <v>0</v>
      </c>
      <c r="AY149" s="83" t="e">
        <f t="shared" si="135"/>
        <v>#DIV/0!</v>
      </c>
      <c r="AZ149" s="83">
        <v>0.25</v>
      </c>
      <c r="BA149" s="81" t="s">
        <v>705</v>
      </c>
      <c r="BB149" s="82">
        <v>0</v>
      </c>
      <c r="BC149" s="85"/>
      <c r="BD149" s="85"/>
      <c r="BE149" s="83">
        <f t="shared" si="136"/>
        <v>0</v>
      </c>
      <c r="BF149" s="83" t="e">
        <f t="shared" si="137"/>
        <v>#DIV/0!</v>
      </c>
      <c r="BG149" s="83">
        <f t="shared" si="138"/>
        <v>0</v>
      </c>
      <c r="BH149" s="83" t="e">
        <f t="shared" si="139"/>
        <v>#DIV/0!</v>
      </c>
    </row>
    <row r="150" spans="1:67" ht="270" x14ac:dyDescent="0.25">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14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14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 t="shared" si="124"/>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 t="shared" si="126"/>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 t="shared" si="130"/>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 t="shared" si="134"/>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 t="shared" si="138"/>
        <v>0</v>
      </c>
      <c r="BH150" s="83"/>
    </row>
    <row r="151" spans="1:67" ht="270" x14ac:dyDescent="0.25">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14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14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 t="shared" si="126"/>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 t="shared" si="130"/>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 t="shared" si="134"/>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 t="shared" si="138"/>
        <v>0</v>
      </c>
      <c r="BH151" s="83"/>
    </row>
    <row r="152" spans="1:67" ht="165" x14ac:dyDescent="0.25">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140"/>
        <v>Ejercer la representación judicial en los procesos penales en que sea parte la Administradora de los Recursos del Sistema General de Seguridad Social en Salud – Administradora de los Recursos del Sistema General de Seguridad Social en Salud - ADRES.</v>
      </c>
      <c r="W152" s="82">
        <f t="shared" si="14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 t="shared" si="126"/>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 t="shared" si="130"/>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 t="shared" si="134"/>
        <v>0</v>
      </c>
      <c r="AY152" s="83"/>
      <c r="AZ152" s="83">
        <v>0.25</v>
      </c>
      <c r="BA152" s="81">
        <f>+BV152</f>
        <v>0</v>
      </c>
      <c r="BB152" s="82">
        <v>27286142</v>
      </c>
      <c r="BC152" s="85"/>
      <c r="BD152" s="85"/>
      <c r="BE152" s="83"/>
      <c r="BF152" s="83"/>
      <c r="BG152" s="83">
        <f t="shared" si="138"/>
        <v>0</v>
      </c>
      <c r="BH152" s="83"/>
    </row>
  </sheetData>
  <autoFilter ref="A8:BQ152" xr:uid="{00000000-0009-0000-0000-000000000000}"/>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12187" priority="85" operator="equal">
      <formula>$BJ$140</formula>
    </cfRule>
    <cfRule type="cellIs" dxfId="12186" priority="86" operator="greaterThan">
      <formula>1</formula>
    </cfRule>
    <cfRule type="cellIs" dxfId="12185" priority="87" operator="equal">
      <formula>100%</formula>
    </cfRule>
    <cfRule type="cellIs" dxfId="12184" priority="88" operator="between">
      <formula>80%</formula>
      <formula>99%</formula>
    </cfRule>
    <cfRule type="cellIs" dxfId="12183" priority="89" operator="between">
      <formula>0%</formula>
      <formula>79%</formula>
    </cfRule>
  </conditionalFormatting>
  <conditionalFormatting sqref="BI133:BP133">
    <cfRule type="cellIs" dxfId="12182" priority="79" operator="equal">
      <formula>$BJ$140</formula>
    </cfRule>
    <cfRule type="cellIs" dxfId="12181" priority="80" operator="greaterThan">
      <formula>1</formula>
    </cfRule>
    <cfRule type="cellIs" dxfId="12180" priority="81" operator="equal">
      <formula>100%</formula>
    </cfRule>
    <cfRule type="cellIs" dxfId="12179" priority="82" operator="between">
      <formula>80%</formula>
      <formula>99%</formula>
    </cfRule>
    <cfRule type="cellIs" dxfId="12178" priority="83" operator="between">
      <formula>0%</formula>
      <formula>79%</formula>
    </cfRule>
  </conditionalFormatting>
  <conditionalFormatting sqref="BI134:BJ135">
    <cfRule type="cellIs" dxfId="12177" priority="73" operator="equal">
      <formula>$BJ$140</formula>
    </cfRule>
    <cfRule type="cellIs" dxfId="12176" priority="74" operator="greaterThan">
      <formula>1</formula>
    </cfRule>
    <cfRule type="cellIs" dxfId="12175" priority="75" operator="equal">
      <formula>100%</formula>
    </cfRule>
    <cfRule type="cellIs" dxfId="12174" priority="76" operator="between">
      <formula>80%</formula>
      <formula>99%</formula>
    </cfRule>
    <cfRule type="cellIs" dxfId="12173" priority="77" operator="between">
      <formula>0%</formula>
      <formula>79%</formula>
    </cfRule>
  </conditionalFormatting>
  <conditionalFormatting sqref="BI10:BP23">
    <cfRule type="cellIs" dxfId="12172" priority="67" operator="equal">
      <formula>$BJ$140</formula>
    </cfRule>
    <cfRule type="cellIs" dxfId="12171" priority="68" operator="greaterThan">
      <formula>1</formula>
    </cfRule>
    <cfRule type="cellIs" dxfId="12170" priority="69" operator="equal">
      <formula>100%</formula>
    </cfRule>
    <cfRule type="cellIs" dxfId="12169" priority="70" operator="between">
      <formula>80%</formula>
      <formula>99%</formula>
    </cfRule>
    <cfRule type="cellIs" dxfId="12168" priority="71" operator="between">
      <formula>0%</formula>
      <formula>79%</formula>
    </cfRule>
  </conditionalFormatting>
  <conditionalFormatting sqref="BI9:BP9">
    <cfRule type="cellIs" dxfId="12167" priority="61" operator="equal">
      <formula>$BJ$140</formula>
    </cfRule>
    <cfRule type="cellIs" dxfId="12166" priority="62" operator="greaterThan">
      <formula>1</formula>
    </cfRule>
    <cfRule type="cellIs" dxfId="12165" priority="63" operator="equal">
      <formula>100%</formula>
    </cfRule>
    <cfRule type="cellIs" dxfId="12164" priority="64" operator="between">
      <formula>80%</formula>
      <formula>99%</formula>
    </cfRule>
    <cfRule type="cellIs" dxfId="12163" priority="65" operator="between">
      <formula>0%</formula>
      <formula>79%</formula>
    </cfRule>
  </conditionalFormatting>
  <conditionalFormatting sqref="BI24:BP24">
    <cfRule type="cellIs" dxfId="12162" priority="55" operator="equal">
      <formula>$BJ$140</formula>
    </cfRule>
    <cfRule type="cellIs" dxfId="12161" priority="56" operator="greaterThan">
      <formula>1</formula>
    </cfRule>
    <cfRule type="cellIs" dxfId="12160" priority="57" operator="equal">
      <formula>100%</formula>
    </cfRule>
    <cfRule type="cellIs" dxfId="12159" priority="58" operator="between">
      <formula>80%</formula>
      <formula>99%</formula>
    </cfRule>
    <cfRule type="cellIs" dxfId="12158" priority="59" operator="between">
      <formula>0%</formula>
      <formula>79%</formula>
    </cfRule>
  </conditionalFormatting>
  <conditionalFormatting sqref="BI63:BP70">
    <cfRule type="cellIs" dxfId="12157" priority="49" operator="equal">
      <formula>$BJ$140</formula>
    </cfRule>
    <cfRule type="cellIs" dxfId="12156" priority="50" operator="greaterThan">
      <formula>1</formula>
    </cfRule>
    <cfRule type="cellIs" dxfId="12155" priority="51" operator="equal">
      <formula>100%</formula>
    </cfRule>
    <cfRule type="cellIs" dxfId="12154" priority="52" operator="between">
      <formula>80%</formula>
      <formula>99%</formula>
    </cfRule>
    <cfRule type="cellIs" dxfId="12153" priority="53" operator="between">
      <formula>0%</formula>
      <formula>79%</formula>
    </cfRule>
  </conditionalFormatting>
  <conditionalFormatting sqref="BI36:BP43">
    <cfRule type="cellIs" dxfId="12152" priority="43" operator="equal">
      <formula>$BJ$140</formula>
    </cfRule>
    <cfRule type="cellIs" dxfId="12151" priority="44" operator="greaterThan">
      <formula>1</formula>
    </cfRule>
    <cfRule type="cellIs" dxfId="12150" priority="45" operator="equal">
      <formula>100%</formula>
    </cfRule>
    <cfRule type="cellIs" dxfId="12149" priority="46" operator="between">
      <formula>80%</formula>
      <formula>99%</formula>
    </cfRule>
    <cfRule type="cellIs" dxfId="12148" priority="47" operator="between">
      <formula>0%</formula>
      <formula>79%</formula>
    </cfRule>
  </conditionalFormatting>
  <conditionalFormatting sqref="BI89:BP89">
    <cfRule type="cellIs" dxfId="12147" priority="37" operator="equal">
      <formula>$BJ$140</formula>
    </cfRule>
    <cfRule type="cellIs" dxfId="12146" priority="38" operator="greaterThan">
      <formula>1</formula>
    </cfRule>
    <cfRule type="cellIs" dxfId="12145" priority="39" operator="equal">
      <formula>100%</formula>
    </cfRule>
    <cfRule type="cellIs" dxfId="12144" priority="40" operator="between">
      <formula>80%</formula>
      <formula>99%</formula>
    </cfRule>
    <cfRule type="cellIs" dxfId="12143" priority="41" operator="between">
      <formula>0%</formula>
      <formula>79%</formula>
    </cfRule>
  </conditionalFormatting>
  <conditionalFormatting sqref="BI96:BP105">
    <cfRule type="cellIs" dxfId="12142" priority="31" operator="equal">
      <formula>$BJ$140</formula>
    </cfRule>
    <cfRule type="cellIs" dxfId="12141" priority="32" operator="greaterThan">
      <formula>1</formula>
    </cfRule>
    <cfRule type="cellIs" dxfId="12140" priority="33" operator="equal">
      <formula>100%</formula>
    </cfRule>
    <cfRule type="cellIs" dxfId="12139" priority="34" operator="between">
      <formula>80%</formula>
      <formula>99%</formula>
    </cfRule>
    <cfRule type="cellIs" dxfId="12138" priority="35" operator="between">
      <formula>0%</formula>
      <formula>79%</formula>
    </cfRule>
  </conditionalFormatting>
  <conditionalFormatting sqref="BI122:BP122">
    <cfRule type="cellIs" dxfId="12137" priority="25" operator="equal">
      <formula>$BJ$140</formula>
    </cfRule>
    <cfRule type="cellIs" dxfId="12136" priority="26" operator="greaterThan">
      <formula>1</formula>
    </cfRule>
    <cfRule type="cellIs" dxfId="12135" priority="27" operator="equal">
      <formula>100%</formula>
    </cfRule>
    <cfRule type="cellIs" dxfId="12134" priority="28" operator="between">
      <formula>80%</formula>
      <formula>99%</formula>
    </cfRule>
    <cfRule type="cellIs" dxfId="12133" priority="29" operator="between">
      <formula>0%</formula>
      <formula>79%</formula>
    </cfRule>
  </conditionalFormatting>
  <conditionalFormatting sqref="BI106:BP108">
    <cfRule type="cellIs" dxfId="12132" priority="19" operator="equal">
      <formula>$BJ$140</formula>
    </cfRule>
    <cfRule type="cellIs" dxfId="12131" priority="20" operator="greaterThan">
      <formula>1</formula>
    </cfRule>
    <cfRule type="cellIs" dxfId="12130" priority="21" operator="equal">
      <formula>100%</formula>
    </cfRule>
    <cfRule type="cellIs" dxfId="12129" priority="22" operator="between">
      <formula>80%</formula>
      <formula>99%</formula>
    </cfRule>
    <cfRule type="cellIs" dxfId="12128" priority="23" operator="between">
      <formula>0%</formula>
      <formula>79%</formula>
    </cfRule>
  </conditionalFormatting>
  <conditionalFormatting sqref="BI55:BP55">
    <cfRule type="cellIs" dxfId="12127" priority="13" operator="equal">
      <formula>$BJ$140</formula>
    </cfRule>
    <cfRule type="cellIs" dxfId="12126" priority="14" operator="greaterThan">
      <formula>1</formula>
    </cfRule>
    <cfRule type="cellIs" dxfId="12125" priority="15" operator="equal">
      <formula>100%</formula>
    </cfRule>
    <cfRule type="cellIs" dxfId="12124" priority="16" operator="between">
      <formula>80%</formula>
      <formula>99%</formula>
    </cfRule>
    <cfRule type="cellIs" dxfId="12123" priority="17" operator="between">
      <formula>0%</formula>
      <formula>79%</formula>
    </cfRule>
  </conditionalFormatting>
  <conditionalFormatting sqref="BI56:BP56">
    <cfRule type="cellIs" dxfId="12122" priority="7" operator="equal">
      <formula>$BJ$140</formula>
    </cfRule>
    <cfRule type="cellIs" dxfId="12121" priority="8" operator="greaterThan">
      <formula>1</formula>
    </cfRule>
    <cfRule type="cellIs" dxfId="12120" priority="9" operator="equal">
      <formula>100%</formula>
    </cfRule>
    <cfRule type="cellIs" dxfId="12119" priority="10" operator="between">
      <formula>80%</formula>
      <formula>99%</formula>
    </cfRule>
    <cfRule type="cellIs" dxfId="12118" priority="11" operator="between">
      <formula>0%</formula>
      <formula>79%</formula>
    </cfRule>
  </conditionalFormatting>
  <conditionalFormatting sqref="BI71:BP73">
    <cfRule type="cellIs" dxfId="12117" priority="1" operator="equal">
      <formula>$BJ$140</formula>
    </cfRule>
    <cfRule type="cellIs" dxfId="12116" priority="2" operator="greaterThan">
      <formula>1</formula>
    </cfRule>
    <cfRule type="cellIs" dxfId="12115" priority="3" operator="equal">
      <formula>100%</formula>
    </cfRule>
    <cfRule type="cellIs" dxfId="12114" priority="4" operator="between">
      <formula>80%</formula>
      <formula>99%</formula>
    </cfRule>
    <cfRule type="cellIs" dxfId="12113"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000-000000000000}">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r:uid="{00000000-0002-0000-0000-000001000000}">
          <x14:formula1>
            <xm:f>'C:\Users\norela.briceno\Documents\Plan de acción\[Plan Accion ADRES Vigencia 2018 30-01-18.xlsx]TAB. REF. PA'!#REF!</xm:f>
          </x14:formula1>
          <xm:sqref>S150:S152 S117:S119</xm:sqref>
        </x14:dataValidation>
        <x14:dataValidation type="list" allowBlank="1" showInputMessage="1" showErrorMessage="1" xr:uid="{00000000-0002-0000-0000-000002000000}">
          <x14:formula1>
            <xm:f>'C:\Users\norela.briceno\Documents\Plan de acción\[Plan Accion ADRES Vigencia 2018 30-01-18.xlsx]TAB. REF. PA'!#REF!</xm:f>
          </x14:formula1>
          <xm:sqref>S44</xm:sqref>
        </x14:dataValidation>
        <x14:dataValidation type="list" allowBlank="1" showInputMessage="1" showErrorMessage="1" xr:uid="{00000000-0002-0000-0000-000003000000}">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r:uid="{00000000-0002-0000-0000-000004000000}">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r:uid="{00000000-0002-0000-0000-000005000000}">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r:uid="{00000000-0002-0000-0000-000006000000}">
          <x14:formula1>
            <xm:f>'D:\Users\Alicia.benitez\Documents\PLAN DE ACCION\[Apoyo Logistico.xlsx]TAB. REF. PA'!#REF!</xm:f>
          </x14:formula1>
          <xm:sqref>S107 S146:S147</xm:sqref>
        </x14:dataValidation>
        <x14:dataValidation type="list" allowBlank="1" showInputMessage="1" showErrorMessage="1" xr:uid="{00000000-0002-0000-0000-000007000000}">
          <x14:formula1>
            <xm:f>'D:\Users\Alicia.benitez\Documents\PLAN DE ACCION\[Atencion al Ciudadano.XLSX]TAB. REF. PA'!#REF!</xm:f>
          </x14:formula1>
          <xm:sqref>T106</xm:sqref>
        </x14:dataValidation>
        <x14:dataValidation type="list" allowBlank="1" showInputMessage="1" showErrorMessage="1" xr:uid="{00000000-0002-0000-0000-000008000000}">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r:uid="{00000000-0002-0000-0000-000009000000}">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r:uid="{00000000-0002-0000-0000-00000A000000}">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r:uid="{00000000-0002-0000-0000-00000B000000}">
          <x14:formula1>
            <xm:f>'C:\Users\norela.briceno\Documents\Plan de acción\[Plan Accion ADRES Vigencia 2018 30-01-18.xlsx]TAB. REF. PA'!#REF!</xm:f>
          </x14:formula1>
          <xm:sqref>A9:A73 A109:A116 A133:A137 A87:A104</xm:sqref>
        </x14:dataValidation>
        <x14:dataValidation type="list" allowBlank="1" showInputMessage="1" showErrorMessage="1" xr:uid="{00000000-0002-0000-0000-00000C000000}">
          <x14:formula1>
            <xm:f>'C:\Users\norela.briceno\Documents\Plan de acción\[Plan Accion ADRES Vigencia 2018 30-01-18.xlsx]TAB. REF. PA'!#REF!</xm:f>
          </x14:formula1>
          <xm:sqref>T9:T73 T104 T101:T102 T109:T116 T133:T137 T87:T99</xm:sqref>
        </x14:dataValidation>
        <x14:dataValidation type="list" allowBlank="1" showInputMessage="1" showErrorMessage="1" xr:uid="{00000000-0002-0000-0000-00000D000000}">
          <x14:formula1>
            <xm:f>'C:\Users\norela.briceno\Documents\Plan de acción\[Plan Accion ADRES Vigencia 2018 30-01-18.xlsx]TAB. REF. PA'!#REF!</xm:f>
          </x14:formula1>
          <xm:sqref>Q9:Q73 Q106:Q107 Q146:Q147 Q109:Q116 Q133:Q137 Q87:Q104</xm:sqref>
        </x14:dataValidation>
        <x14:dataValidation type="list" allowBlank="1" showInputMessage="1" showErrorMessage="1" xr:uid="{00000000-0002-0000-0000-00000E000000}">
          <x14:formula1>
            <xm:f>'C:\Users\norela.briceno\Documents\Plan de acción\[Plan Accion ADRES Vigencia 2018 30-01-18.xlsx]TAB. REF. PA'!#REF!</xm:f>
          </x14:formula1>
          <xm:sqref>P9:P73 P106:P107 P146:P147 P109:P116 P133:P137 P87:P104</xm:sqref>
        </x14:dataValidation>
        <x14:dataValidation type="list" allowBlank="1" showInputMessage="1" showErrorMessage="1" xr:uid="{00000000-0002-0000-0000-00000F000000}">
          <x14:formula1>
            <xm:f>'C:\Users\norela.briceno\Documents\Plan de acción\[Plan Accion ADRES Vigencia 2018 30-01-18.xlsx]TAB. REF. PA'!#REF!</xm:f>
          </x14:formula1>
          <xm:sqref>O9:O73 O106:O107 O146:O147 O109:O116 O133:O137 O87:O104</xm:sqref>
        </x14:dataValidation>
        <x14:dataValidation type="list" allowBlank="1" showInputMessage="1" showErrorMessage="1" xr:uid="{00000000-0002-0000-0000-000010000000}">
          <x14:formula1>
            <xm:f>'C:\Users\norela.briceno\Documents\Plan de acción\[Plan Accion ADRES Vigencia 2018 30-01-18.xlsx]TAB. REF. PA'!#REF!</xm:f>
          </x14:formula1>
          <xm:sqref>N9:N73 N106:N107 N146:N147 N109:N116 N133:N137 N87:N104</xm:sqref>
        </x14:dataValidation>
        <x14:dataValidation type="list" allowBlank="1" showInputMessage="1" showErrorMessage="1" xr:uid="{00000000-0002-0000-0000-000011000000}">
          <x14:formula1>
            <xm:f>'C:\Users\norela.briceno\Documents\Plan de acción\[Plan Accion ADRES Vigencia 2018 30-01-18.xlsx]TAB. REF. PA'!#REF!</xm:f>
          </x14:formula1>
          <xm:sqref>M9:M73 M106:M107 M146:M147 M109:M116 M133:M137 M87:M104</xm:sqref>
        </x14:dataValidation>
        <x14:dataValidation type="list" allowBlank="1" showInputMessage="1" showErrorMessage="1" xr:uid="{00000000-0002-0000-0000-000012000000}">
          <x14:formula1>
            <xm:f>'C:\Users\norela.briceno\Documents\Plan de acción\[Plan Accion ADRES Vigencia 2018 30-01-18.xlsx]TAB. REF. PA'!#REF!</xm:f>
          </x14:formula1>
          <xm:sqref>R9:R73 R106:R107 R109:R116 R133:R137 R87:R104</xm:sqref>
        </x14:dataValidation>
        <x14:dataValidation type="list" allowBlank="1" showInputMessage="1" showErrorMessage="1" xr:uid="{00000000-0002-0000-0000-000013000000}">
          <x14:formula1>
            <xm:f>'C:\Users\norela.briceno\Documents\Plan de acción\[Plan Accion ADRES Vigencia 2018 30-01-18.xlsx]TAB. REF. PA'!#REF!</xm:f>
          </x14:formula1>
          <xm:sqref>X9:X73 X104 X101:X102 X109:X116 X133:X137 X87:X99</xm:sqref>
        </x14:dataValidation>
        <x14:dataValidation type="list" allowBlank="1" showInputMessage="1" showErrorMessage="1" xr:uid="{00000000-0002-0000-0000-000014000000}">
          <x14:formula1>
            <xm:f>'C:\Users\norela.briceno\Documents\Plan de acción\[Plan Accion ADRES Vigencia 2018 30-01-18.xlsx]TAB. REF. PA'!#REF!</xm:f>
          </x14:formula1>
          <xm:sqref>S63:S73</xm:sqref>
        </x14:dataValidation>
        <x14:dataValidation type="list" allowBlank="1" showInputMessage="1" showErrorMessage="1" xr:uid="{00000000-0002-0000-0000-000015000000}">
          <x14:formula1>
            <xm:f>'C:\Users\norela.briceno\Documents\Plan de acción\[Plan Accion ADRES Vigencia 2018 30-01-18.xlsx]TAB. REF. PA'!#REF!</xm:f>
          </x14:formula1>
          <xm:sqref>S104 S45:S62 S9:S43 S109:S116 S133:S137 S87:S99</xm:sqref>
        </x14:dataValidation>
        <x14:dataValidation type="list" allowBlank="1" showInputMessage="1" showErrorMessage="1" xr:uid="{00000000-0002-0000-0000-000016000000}">
          <x14:formula1>
            <xm:f>'C:\Users\Ricardo.triana\AppData\Local\Microsoft\Windows\INetCache\Content.Outlook\NSJG1V0A\[Plan Accion ADRES DOP 24-01-2018.xlsx]TAB. REF. PA'!#REF!</xm:f>
          </x14:formula1>
          <xm:sqref>D63:D73</xm:sqref>
        </x14:dataValidation>
        <x14:dataValidation type="list" allowBlank="1" showInputMessage="1" showErrorMessage="1" xr:uid="{00000000-0002-0000-0000-000017000000}">
          <x14:formula1>
            <xm:f>'D:\Users\ricardo.triana\Documents\ADRES\Plan de Accion\Plan Accion 2018\[Plan Accion ADRES Vigencia 2018 DLG 17-01-18.xlsx]TAB. REF. PA'!#REF!</xm:f>
          </x14:formula1>
          <xm:sqref>D44:D62</xm:sqref>
        </x14:dataValidation>
        <x14:dataValidation type="list" allowBlank="1" showInputMessage="1" showErrorMessage="1" xr:uid="{00000000-0002-0000-0000-000018000000}">
          <x14:formula1>
            <xm:f>'D:\Users\ricardo.triana\Documents\ADRES\Plan de Accion\Plan Accion 2018\[Plan Accion ADRES Vigencia 2018 DGRFS 17-01-18.xlsx]TAB. REF. PA'!#REF!</xm:f>
          </x14:formula1>
          <xm:sqref>D11:D43</xm:sqref>
        </x14:dataValidation>
        <x14:dataValidation type="list" allowBlank="1" showInputMessage="1" showErrorMessage="1" xr:uid="{00000000-0002-0000-0000-000019000000}">
          <x14:formula1>
            <xm:f>'C:\Users\norela.briceno\Documents\Plan de acción\[Plan Accion ADRES Vigencia 2018 30-01-18.xlsx]TAB. REF. PA'!#REF!</xm:f>
          </x14:formula1>
          <xm:sqref>D9:D10 D109:D116 D133:D137 D87:D104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38C4-0436-4186-B8F8-DB6D66C5D689}">
  <dimension ref="A1:BD11"/>
  <sheetViews>
    <sheetView showGridLines="0" topLeftCell="A8" workbookViewId="0">
      <selection activeCell="AH11" sqref="AH11"/>
    </sheetView>
  </sheetViews>
  <sheetFormatPr baseColWidth="10" defaultRowHeight="15" x14ac:dyDescent="0.25"/>
  <cols>
    <col min="1" max="1" width="49" customWidth="1"/>
    <col min="2" max="2" width="2.28515625" customWidth="1"/>
    <col min="3" max="3" width="21.7109375" customWidth="1"/>
    <col min="4" max="8" width="3.28515625" customWidth="1"/>
    <col min="9" max="9" width="10.5703125" customWidth="1"/>
    <col min="10" max="10" width="11.7109375" customWidth="1"/>
    <col min="11" max="15" width="3.28515625" customWidth="1"/>
    <col min="16" max="16" width="2.7109375" customWidth="1"/>
    <col min="17" max="17" width="11.7109375" customWidth="1"/>
    <col min="18" max="22" width="3.28515625" customWidth="1"/>
    <col min="23" max="24" width="11.7109375" customWidth="1"/>
    <col min="25" max="29" width="3.28515625" customWidth="1"/>
    <col min="30" max="30" width="3.140625" customWidth="1"/>
    <col min="31" max="31" width="11.7109375" customWidth="1"/>
    <col min="32" max="36" width="3.28515625" customWidth="1"/>
    <col min="37" max="38" width="11.7109375" customWidth="1"/>
    <col min="39" max="43" width="3.28515625" customWidth="1"/>
    <col min="44" max="44" width="2.85546875" customWidth="1"/>
    <col min="45" max="45" width="11.7109375" customWidth="1"/>
    <col min="46" max="50" width="3.28515625" customWidth="1"/>
    <col min="51" max="51" width="21.7109375" customWidth="1"/>
    <col min="52" max="56" width="3.28515625" customWidth="1"/>
  </cols>
  <sheetData>
    <row r="1" spans="1:56" ht="15" customHeight="1" x14ac:dyDescent="0.25">
      <c r="A1" s="1245"/>
      <c r="B1" s="1230" t="s">
        <v>954</v>
      </c>
      <c r="C1" s="1231"/>
      <c r="D1" s="1231"/>
      <c r="E1" s="1231"/>
      <c r="F1" s="1231"/>
      <c r="G1" s="1231"/>
      <c r="H1" s="1195"/>
      <c r="I1" s="1197" t="s">
        <v>955</v>
      </c>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21"/>
      <c r="AT1" s="1222"/>
      <c r="AU1" s="1222"/>
      <c r="AV1" s="1222"/>
      <c r="AW1" s="1222"/>
      <c r="AX1" s="1222"/>
      <c r="AY1" s="1222"/>
      <c r="AZ1" s="1222"/>
      <c r="BA1" s="1222"/>
      <c r="BB1" s="1222"/>
      <c r="BC1" s="1222"/>
      <c r="BD1" s="1223"/>
    </row>
    <row r="2" spans="1:56" ht="15" customHeight="1" x14ac:dyDescent="0.25">
      <c r="A2" s="1246"/>
      <c r="B2" s="1232" t="s">
        <v>956</v>
      </c>
      <c r="C2" s="1233"/>
      <c r="D2" s="1233"/>
      <c r="E2" s="1233"/>
      <c r="F2" s="1233"/>
      <c r="G2" s="1233"/>
      <c r="H2" s="1200"/>
      <c r="I2" s="1202" t="s">
        <v>800</v>
      </c>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24"/>
      <c r="AT2" s="1225"/>
      <c r="AU2" s="1225"/>
      <c r="AV2" s="1225"/>
      <c r="AW2" s="1225"/>
      <c r="AX2" s="1225"/>
      <c r="AY2" s="1225"/>
      <c r="AZ2" s="1225"/>
      <c r="BA2" s="1225"/>
      <c r="BB2" s="1225"/>
      <c r="BC2" s="1225"/>
      <c r="BD2" s="1226"/>
    </row>
    <row r="3" spans="1:56" ht="15.75" customHeight="1" thickBot="1" x14ac:dyDescent="0.3">
      <c r="A3" s="1247"/>
      <c r="B3" s="1234" t="s">
        <v>852</v>
      </c>
      <c r="C3" s="1210"/>
      <c r="D3" s="1210"/>
      <c r="E3" s="1210"/>
      <c r="F3" s="1210"/>
      <c r="G3" s="1210"/>
      <c r="H3" s="1205"/>
      <c r="I3" s="1207" t="s">
        <v>960</v>
      </c>
      <c r="J3" s="1210"/>
      <c r="K3" s="1210"/>
      <c r="L3" s="1210"/>
      <c r="M3" s="1210"/>
      <c r="N3" s="1210"/>
      <c r="O3" s="1205"/>
      <c r="P3" s="1235" t="s">
        <v>962</v>
      </c>
      <c r="Q3" s="1236"/>
      <c r="R3" s="1236"/>
      <c r="S3" s="1236"/>
      <c r="T3" s="1236"/>
      <c r="U3" s="1236"/>
      <c r="V3" s="1236"/>
      <c r="W3" s="1236"/>
      <c r="X3" s="1236"/>
      <c r="Y3" s="1236"/>
      <c r="Z3" s="1236"/>
      <c r="AA3" s="1236"/>
      <c r="AB3" s="1236"/>
      <c r="AC3" s="1236"/>
      <c r="AD3" s="1236"/>
      <c r="AE3" s="1236"/>
      <c r="AF3" s="1236"/>
      <c r="AG3" s="1236"/>
      <c r="AH3" s="1236"/>
      <c r="AI3" s="1236"/>
      <c r="AJ3" s="1237"/>
      <c r="AK3" s="867" t="s">
        <v>959</v>
      </c>
      <c r="AL3" s="869"/>
      <c r="AM3" s="1207">
        <v>1</v>
      </c>
      <c r="AN3" s="1210"/>
      <c r="AO3" s="1210"/>
      <c r="AP3" s="1210"/>
      <c r="AQ3" s="1210"/>
      <c r="AR3" s="1210"/>
      <c r="AS3" s="1227"/>
      <c r="AT3" s="1228"/>
      <c r="AU3" s="1228"/>
      <c r="AV3" s="1228"/>
      <c r="AW3" s="1228"/>
      <c r="AX3" s="1228"/>
      <c r="AY3" s="1228"/>
      <c r="AZ3" s="1228"/>
      <c r="BA3" s="1228"/>
      <c r="BB3" s="1228"/>
      <c r="BC3" s="1228"/>
      <c r="BD3" s="1229"/>
    </row>
    <row r="4" spans="1:56" ht="15.75" thickBot="1" x14ac:dyDescent="0.3"/>
    <row r="5" spans="1:56" ht="72.75" customHeight="1" thickBot="1" x14ac:dyDescent="0.3">
      <c r="A5" s="289" t="s">
        <v>795</v>
      </c>
      <c r="B5" s="294"/>
      <c r="C5" s="1241" t="s">
        <v>1110</v>
      </c>
      <c r="D5" s="1248"/>
      <c r="E5" s="1248"/>
      <c r="F5" s="1248"/>
      <c r="G5" s="1248"/>
      <c r="H5" s="1249"/>
      <c r="I5" s="1244" t="s">
        <v>1111</v>
      </c>
      <c r="J5" s="1220"/>
      <c r="K5" s="1220"/>
      <c r="L5" s="1220"/>
      <c r="M5" s="1220"/>
      <c r="N5" s="1220"/>
      <c r="O5" s="1220"/>
      <c r="Q5" s="1241" t="s">
        <v>1112</v>
      </c>
      <c r="R5" s="1248"/>
      <c r="S5" s="1248"/>
      <c r="T5" s="1248"/>
      <c r="U5" s="1248"/>
      <c r="V5" s="1249"/>
      <c r="W5" s="1244" t="s">
        <v>1113</v>
      </c>
      <c r="X5" s="1220"/>
      <c r="Y5" s="1220"/>
      <c r="Z5" s="1220"/>
      <c r="AA5" s="1220"/>
      <c r="AB5" s="1220"/>
      <c r="AC5" s="1220"/>
      <c r="AD5" s="585"/>
      <c r="AE5" s="1241" t="s">
        <v>1114</v>
      </c>
      <c r="AF5" s="1248"/>
      <c r="AG5" s="1248"/>
      <c r="AH5" s="1248"/>
      <c r="AI5" s="1248"/>
      <c r="AJ5" s="1249"/>
      <c r="AK5" s="1244" t="s">
        <v>1115</v>
      </c>
      <c r="AL5" s="1220"/>
      <c r="AM5" s="1220"/>
      <c r="AN5" s="1220"/>
      <c r="AO5" s="1220"/>
      <c r="AP5" s="1220"/>
      <c r="AQ5" s="1220"/>
      <c r="AR5" s="585"/>
      <c r="AS5" s="1241" t="s">
        <v>1116</v>
      </c>
      <c r="AT5" s="1248"/>
      <c r="AU5" s="1248"/>
      <c r="AV5" s="1248"/>
      <c r="AW5" s="1248"/>
      <c r="AX5" s="1249"/>
      <c r="AY5" s="1244" t="s">
        <v>1117</v>
      </c>
      <c r="AZ5" s="1220"/>
      <c r="BA5" s="1220"/>
      <c r="BB5" s="1220"/>
      <c r="BC5" s="1220"/>
      <c r="BD5" s="1220"/>
    </row>
    <row r="6" spans="1:56" ht="18" x14ac:dyDescent="0.25">
      <c r="A6" s="295" t="s">
        <v>886</v>
      </c>
      <c r="B6" s="290"/>
      <c r="C6" s="912">
        <f>SUM('Cuadro Mando Integral Detallado'!J15:J36,'Cuadro Mando Integral Detallado'!J108:J122,'Cuadro Mando Integral Detallado'!J179:J202,'Cuadro Mando Integral Detallado'!J220:J222)/COUNT('Cuadro Mando Integral Detallado'!J15:J36,'Cuadro Mando Integral Detallado'!J108:J122,'Cuadro Mando Integral Detallado'!J179:J202,'Cuadro Mando Integral Detallado'!J220:J222)</f>
        <v>0.75279113468310899</v>
      </c>
      <c r="D6" s="819">
        <f t="shared" ref="D6" si="0">+C6</f>
        <v>0.75279113468310899</v>
      </c>
      <c r="E6" s="795">
        <f t="shared" ref="E6:E11" si="1">+C6</f>
        <v>0.75279113468310899</v>
      </c>
      <c r="F6" s="795">
        <f t="shared" ref="F6:F11" si="2">+C6</f>
        <v>0.75279113468310899</v>
      </c>
      <c r="G6" s="795">
        <f t="shared" ref="G6:G11" si="3">+C6</f>
        <v>0.75279113468310899</v>
      </c>
      <c r="H6" s="580">
        <f t="shared" ref="H6:H11" si="4">+C6</f>
        <v>0.75279113468310899</v>
      </c>
      <c r="I6" s="826">
        <f>SUM('Cuadro Mando Integral Detallado'!L15:L36,'Cuadro Mando Integral Detallado'!L108:L122,'Cuadro Mando Integral Detallado'!L179:L202,'Cuadro Mando Integral Detallado'!L220:L222)/COUNT('Cuadro Mando Integral Detallado'!L15:L36,'Cuadro Mando Integral Detallado'!L108:L122,'Cuadro Mando Integral Detallado'!L179:L202,'Cuadro Mando Integral Detallado'!L220:L222)</f>
        <v>0.13539043040623555</v>
      </c>
      <c r="J6" s="826">
        <f>SUM('Cuadro Mando Integral Detallado'!M15:M36,'Cuadro Mando Integral Detallado'!M108:M122,'Cuadro Mando Integral Detallado'!M179:M202,'Cuadro Mando Integral Detallado'!M220:M222)/COUNT('Cuadro Mando Integral Detallado'!M15:M36,'Cuadro Mando Integral Detallado'!M108:M122,'Cuadro Mando Integral Detallado'!M179:M202,'Cuadro Mando Integral Detallado'!M220:M222)</f>
        <v>0.18052057387498074</v>
      </c>
      <c r="K6" s="807">
        <f t="shared" ref="K6:K11" si="5">+I6</f>
        <v>0.13539043040623555</v>
      </c>
      <c r="L6" s="808">
        <f t="shared" ref="L6:L11" si="6">+I6</f>
        <v>0.13539043040623555</v>
      </c>
      <c r="M6" s="808">
        <f t="shared" ref="M6:M11" si="7">+I6</f>
        <v>0.13539043040623555</v>
      </c>
      <c r="N6" s="808">
        <f t="shared" ref="N6:N11" si="8">+I6</f>
        <v>0.13539043040623555</v>
      </c>
      <c r="O6" s="590">
        <f t="shared" ref="O6:O11" si="9">+I6</f>
        <v>0.13539043040623555</v>
      </c>
      <c r="P6" s="177"/>
      <c r="Q6" s="826">
        <f>SUM('Cuadro Mando Integral Detallado'!Q15:Q36,'Cuadro Mando Integral Detallado'!Q108:Q111,'Cuadro Mando Integral Detallado'!Q113:Q122,'Cuadro Mando Integral Detallado'!Q179:Q202,'Cuadro Mando Integral Detallado'!Q220:Q222)/COUNT('Cuadro Mando Integral Detallado'!Q15:Q36,'Cuadro Mando Integral Detallado'!Q108:Q111,'Cuadro Mando Integral Detallado'!Q113:Q122,'Cuadro Mando Integral Detallado'!Q179:Q202,'Cuadro Mando Integral Detallado'!Q220:Q222)</f>
        <v>0.69921084449827942</v>
      </c>
      <c r="R6" s="819">
        <f t="shared" ref="R6:R11" si="10">+Q6</f>
        <v>0.69921084449827942</v>
      </c>
      <c r="S6" s="795">
        <f t="shared" ref="S6:S11" si="11">+Q6</f>
        <v>0.69921084449827942</v>
      </c>
      <c r="T6" s="795">
        <f t="shared" ref="T6:T11" si="12">+Q6</f>
        <v>0.69921084449827942</v>
      </c>
      <c r="U6" s="795">
        <f t="shared" ref="U6:U11" si="13">+Q6</f>
        <v>0.69921084449827942</v>
      </c>
      <c r="V6" s="580">
        <f t="shared" ref="V6:V11" si="14">+Q6</f>
        <v>0.69921084449827942</v>
      </c>
      <c r="W6" s="912">
        <f>SUM('Cuadro Mando Integral Detallado'!S15:S36,'Cuadro Mando Integral Detallado'!S108:S122,'Cuadro Mando Integral Detallado'!S179:S202,'Cuadro Mando Integral Detallado'!S220:S222)/COUNT('Cuadro Mando Integral Detallado'!S15:S36,'Cuadro Mando Integral Detallado'!S108:S122,'Cuadro Mando Integral Detallado'!S179:S202,'Cuadro Mando Integral Detallado'!S220:S222)</f>
        <v>0.33413093479944728</v>
      </c>
      <c r="X6" s="912">
        <f>SUM('Cuadro Mando Integral Detallado'!T15:T36,'Cuadro Mando Integral Detallado'!T108:T122,'Cuadro Mando Integral Detallado'!T179:T202,'Cuadro Mando Integral Detallado'!T220:T222)/COUNT('Cuadro Mando Integral Detallado'!T15:T36,'Cuadro Mando Integral Detallado'!T108:T122,'Cuadro Mando Integral Detallado'!T179:T202,'Cuadro Mando Integral Detallado'!T220:T222)</f>
        <v>0.41930156523852208</v>
      </c>
      <c r="Y6" s="807">
        <f t="shared" ref="Y6:Y9" si="15">+W6</f>
        <v>0.33413093479944728</v>
      </c>
      <c r="Z6" s="808">
        <f t="shared" ref="Z6:Z11" si="16">+W6</f>
        <v>0.33413093479944728</v>
      </c>
      <c r="AA6" s="808">
        <f t="shared" ref="AA6:AA11" si="17">+W6</f>
        <v>0.33413093479944728</v>
      </c>
      <c r="AB6" s="808">
        <f t="shared" ref="AB6:AB11" si="18">+W6</f>
        <v>0.33413093479944728</v>
      </c>
      <c r="AC6" s="590">
        <f t="shared" ref="AC6:AC11" si="19">+W6</f>
        <v>0.33413093479944728</v>
      </c>
      <c r="AD6" s="588"/>
      <c r="AE6" s="826">
        <f>SUM('Cuadro Mando Integral Detallado'!X15:X36,'Cuadro Mando Integral Detallado'!X108:X111,'Cuadro Mando Integral Detallado'!X113:X122,'Cuadro Mando Integral Detallado'!X179:X202,'Cuadro Mando Integral Detallado'!X220:X222)/COUNT('Cuadro Mando Integral Detallado'!X15:X36,'Cuadro Mando Integral Detallado'!X108:X111,'Cuadro Mando Integral Detallado'!X113:X122,'Cuadro Mando Integral Detallado'!X179:X202,'Cuadro Mando Integral Detallado'!X220:X222)</f>
        <v>0</v>
      </c>
      <c r="AF6" s="819">
        <f t="shared" ref="AF6:AF11" si="20">+AE6</f>
        <v>0</v>
      </c>
      <c r="AG6" s="795">
        <f t="shared" ref="AG6:AG11" si="21">+AE6</f>
        <v>0</v>
      </c>
      <c r="AH6" s="795">
        <f t="shared" ref="AH6:AH11" si="22">+AE6</f>
        <v>0</v>
      </c>
      <c r="AI6" s="795">
        <f>+AE6</f>
        <v>0</v>
      </c>
      <c r="AJ6" s="580">
        <f t="shared" ref="AJ6:AJ11" si="23">+AE6</f>
        <v>0</v>
      </c>
      <c r="AK6" s="912">
        <f>SUM('Cuadro Mando Integral Detallado'!Z15:Z17,'Cuadro Mando Integral Detallado'!Z18:Z36,'Cuadro Mando Integral Detallado'!Z108:Z111,'Cuadro Mando Integral Detallado'!Z113:Z122,'Cuadro Mando Integral Detallado'!Z179:Z202,'Cuadro Mando Integral Detallado'!Z220:Z222)/COUNT('Cuadro Mando Integral Detallado'!Z15:Z36,'Cuadro Mando Integral Detallado'!Z108:Z111,'Cuadro Mando Integral Detallado'!Z113:Z122,'Cuadro Mando Integral Detallado'!Z179:Z202,'Cuadro Mando Integral Detallado'!Z220:Z222)</f>
        <v>0.36029414341807231</v>
      </c>
      <c r="AL6" s="912">
        <f>SUM('Cuadro Mando Integral Detallado'!AA15:AA17,'Cuadro Mando Integral Detallado'!AA18:AA36,'Cuadro Mando Integral Detallado'!AA108:AA111,'Cuadro Mando Integral Detallado'!AA113:AA122,'Cuadro Mando Integral Detallado'!AA179:AA202,'Cuadro Mando Integral Detallado'!AA220:AA222)/COUNT('Cuadro Mando Integral Detallado'!AA15:AA36,'Cuadro Mando Integral Detallado'!AA108:AA111,'Cuadro Mando Integral Detallado'!AA113:AA122,'Cuadro Mando Integral Detallado'!AA179:AA202,'Cuadro Mando Integral Detallado'!AA220:AA222)</f>
        <v>0.42827417047808591</v>
      </c>
      <c r="AM6" s="819">
        <f t="shared" ref="AM6:AM11" si="24">+AK6</f>
        <v>0.36029414341807231</v>
      </c>
      <c r="AN6" s="808">
        <f t="shared" ref="AN6:AN11" si="25">+AK6</f>
        <v>0.36029414341807231</v>
      </c>
      <c r="AO6" s="808">
        <f t="shared" ref="AO6:AO11" si="26">+AK6</f>
        <v>0.36029414341807231</v>
      </c>
      <c r="AP6" s="808">
        <f t="shared" ref="AP6:AP11" si="27">+AK6</f>
        <v>0.36029414341807231</v>
      </c>
      <c r="AQ6" s="590">
        <f t="shared" ref="AQ6:AQ11" si="28">+AK6</f>
        <v>0.36029414341807231</v>
      </c>
      <c r="AR6" s="588"/>
      <c r="AS6" s="826">
        <f>SUM('Cuadro Mando Integral Detallado'!AE15:AE36,'Cuadro Mando Integral Detallado'!AE108:AE111,'Cuadro Mando Integral Detallado'!AE113:AE122,'Cuadro Mando Integral Detallado'!AE179:AE202,'Cuadro Mando Integral Detallado'!AE220:AE222)/COUNT('Cuadro Mando Integral Detallado'!AE15:AE36,'Cuadro Mando Integral Detallado'!AE108:AE111,'Cuadro Mando Integral Detallado'!AE113:AE122,'Cuadro Mando Integral Detallado'!AE179:AE202,'Cuadro Mando Integral Detallado'!AE220:AE222)</f>
        <v>0</v>
      </c>
      <c r="AT6" s="819">
        <f t="shared" ref="AT6:AT11" si="29">+AS6</f>
        <v>0</v>
      </c>
      <c r="AU6" s="795">
        <f t="shared" ref="AU6:AU11" si="30">+AS6</f>
        <v>0</v>
      </c>
      <c r="AV6" s="795">
        <f t="shared" ref="AV6:AV11" si="31">+AS6</f>
        <v>0</v>
      </c>
      <c r="AW6" s="795">
        <f t="shared" ref="AW6:AW11" si="32">+AS6</f>
        <v>0</v>
      </c>
      <c r="AX6" s="580">
        <f t="shared" ref="AX6:AX11" si="33">+AS6</f>
        <v>0</v>
      </c>
      <c r="AY6" s="912">
        <f>SUM('Cuadro Mando Integral Detallado'!AG15:AG17,'Cuadro Mando Integral Detallado'!AG18:AG36,'Cuadro Mando Integral Detallado'!AG108:AG111,'Cuadro Mando Integral Detallado'!AG113:AG122,'Cuadro Mando Integral Detallado'!AG179:AG202,'Cuadro Mando Integral Detallado'!AG220:AG222)/COUNT('Cuadro Mando Integral Detallado'!AG15:AG36,'Cuadro Mando Integral Detallado'!AG108:AG111,'Cuadro Mando Integral Detallado'!AG113:AG122,'Cuadro Mando Integral Detallado'!AG179:AG202,'Cuadro Mando Integral Detallado'!AG220:AG222)</f>
        <v>0.37384070450157914</v>
      </c>
      <c r="AZ6" s="819">
        <f>+AY6</f>
        <v>0.37384070450157914</v>
      </c>
      <c r="BA6" s="808">
        <f t="shared" ref="BA6:BA11" si="34">+AY6</f>
        <v>0.37384070450157914</v>
      </c>
      <c r="BB6" s="808">
        <f t="shared" ref="BB6:BB11" si="35">+AY6</f>
        <v>0.37384070450157914</v>
      </c>
      <c r="BC6" s="808">
        <f t="shared" ref="BC6:BC11" si="36">+AY6</f>
        <v>0.37384070450157914</v>
      </c>
      <c r="BD6" s="590">
        <f t="shared" ref="BD6:BD11" si="37">+AY6</f>
        <v>0.37384070450157914</v>
      </c>
    </row>
    <row r="7" spans="1:56" ht="54" x14ac:dyDescent="0.25">
      <c r="A7" s="292" t="s">
        <v>887</v>
      </c>
      <c r="B7" s="290"/>
      <c r="C7" s="827">
        <f>SUM('Cuadro Mando Integral Detallado'!J38:J64,'Cuadro Mando Integral Detallado'!J147:J154)/COUNT('Cuadro Mando Integral Detallado'!J38:J64,'Cuadro Mando Integral Detallado'!J147:J154)</f>
        <v>0.72679123591226424</v>
      </c>
      <c r="D7" s="820">
        <f>+C7</f>
        <v>0.72679123591226424</v>
      </c>
      <c r="E7" s="794">
        <f t="shared" si="1"/>
        <v>0.72679123591226424</v>
      </c>
      <c r="F7" s="794">
        <f t="shared" si="2"/>
        <v>0.72679123591226424</v>
      </c>
      <c r="G7" s="794">
        <f t="shared" si="3"/>
        <v>0.72679123591226424</v>
      </c>
      <c r="H7" s="581">
        <f t="shared" si="4"/>
        <v>0.72679123591226424</v>
      </c>
      <c r="I7" s="827">
        <f>SUM('Cuadro Mando Integral Detallado'!L38:L64,'Cuadro Mando Integral Detallado'!L147:L154)/COUNT('Cuadro Mando Integral Detallado'!L38:L64,'Cuadro Mando Integral Detallado'!L147:L154)</f>
        <v>0.1774815540261532</v>
      </c>
      <c r="J7" s="827">
        <f>SUM('Cuadro Mando Integral Detallado'!M38:M64,'Cuadro Mando Integral Detallado'!M147:M154)/COUNT('Cuadro Mando Integral Detallado'!M38:M64,'Cuadro Mando Integral Detallado'!M147:M154)</f>
        <v>0.1774815540261532</v>
      </c>
      <c r="K7" s="809">
        <f t="shared" si="5"/>
        <v>0.1774815540261532</v>
      </c>
      <c r="L7" s="806">
        <f t="shared" si="6"/>
        <v>0.1774815540261532</v>
      </c>
      <c r="M7" s="806">
        <f t="shared" si="7"/>
        <v>0.1774815540261532</v>
      </c>
      <c r="N7" s="806">
        <f t="shared" si="8"/>
        <v>0.1774815540261532</v>
      </c>
      <c r="O7" s="591">
        <f t="shared" si="9"/>
        <v>0.1774815540261532</v>
      </c>
      <c r="P7" s="163"/>
      <c r="Q7" s="827">
        <f>SUM('Cuadro Mando Integral Detallado'!Q38:Q64,'Cuadro Mando Integral Detallado'!Q147:Q154)/COUNT('Cuadro Mando Integral Detallado'!Q38:Q64,'Cuadro Mando Integral Detallado'!Q147:Q154)</f>
        <v>0.73309529819039954</v>
      </c>
      <c r="R7" s="820">
        <f>+Q7</f>
        <v>0.73309529819039954</v>
      </c>
      <c r="S7" s="794">
        <f t="shared" si="11"/>
        <v>0.73309529819039954</v>
      </c>
      <c r="T7" s="794">
        <f t="shared" si="12"/>
        <v>0.73309529819039954</v>
      </c>
      <c r="U7" s="794">
        <f t="shared" si="13"/>
        <v>0.73309529819039954</v>
      </c>
      <c r="V7" s="581">
        <f t="shared" si="14"/>
        <v>0.73309529819039954</v>
      </c>
      <c r="W7" s="827">
        <f>SUM('Cuadro Mando Integral Detallado'!S38:S64,'Cuadro Mando Integral Detallado'!S147:S154)/COUNT('Cuadro Mando Integral Detallado'!S38:S64,'Cuadro Mando Integral Detallado'!S147:S154)</f>
        <v>0.36135029278361858</v>
      </c>
      <c r="X7" s="827">
        <f>SUM('Cuadro Mando Integral Detallado'!T38:T64,'Cuadro Mando Integral Detallado'!T147:T154)/COUNT('Cuadro Mando Integral Detallado'!T38:T64,'Cuadro Mando Integral Detallado'!T147:T154)</f>
        <v>0.36135029278361858</v>
      </c>
      <c r="Y7" s="809">
        <f t="shared" si="15"/>
        <v>0.36135029278361858</v>
      </c>
      <c r="Z7" s="806">
        <f t="shared" si="16"/>
        <v>0.36135029278361858</v>
      </c>
      <c r="AA7" s="806">
        <f t="shared" si="17"/>
        <v>0.36135029278361858</v>
      </c>
      <c r="AB7" s="806">
        <f t="shared" si="18"/>
        <v>0.36135029278361858</v>
      </c>
      <c r="AC7" s="591">
        <f t="shared" si="19"/>
        <v>0.36135029278361858</v>
      </c>
      <c r="AD7" s="588"/>
      <c r="AE7" s="827">
        <f>SUM('Cuadro Mando Integral Detallado'!X38:X64,'Cuadro Mando Integral Detallado'!X147:X154)/COUNT('Cuadro Mando Integral Detallado'!X38:X64,'Cuadro Mando Integral Detallado'!X147:X154)</f>
        <v>0</v>
      </c>
      <c r="AF7" s="820">
        <f t="shared" si="20"/>
        <v>0</v>
      </c>
      <c r="AG7" s="794">
        <f t="shared" si="21"/>
        <v>0</v>
      </c>
      <c r="AH7" s="794">
        <f t="shared" si="22"/>
        <v>0</v>
      </c>
      <c r="AI7" s="794">
        <f>+AE7</f>
        <v>0</v>
      </c>
      <c r="AJ7" s="581">
        <f t="shared" si="23"/>
        <v>0</v>
      </c>
      <c r="AK7" s="827">
        <f>SUM('Cuadro Mando Integral Detallado'!Z38:Z64,'Cuadro Mando Integral Detallado'!Z147:Z154)/COUNT('Cuadro Mando Integral Detallado'!Z38:Z64,'Cuadro Mando Integral Detallado'!Z147:Z154)</f>
        <v>0.38455978610150215</v>
      </c>
      <c r="AL7" s="827">
        <f>SUM('Cuadro Mando Integral Detallado'!AA38:AA64,'Cuadro Mando Integral Detallado'!AA147:AA154)/COUNT('Cuadro Mando Integral Detallado'!AA38:AA64,'Cuadro Mando Integral Detallado'!AA147:AA154)</f>
        <v>0.38455978610150215</v>
      </c>
      <c r="AM7" s="820">
        <f t="shared" si="24"/>
        <v>0.38455978610150215</v>
      </c>
      <c r="AN7" s="806">
        <f t="shared" si="25"/>
        <v>0.38455978610150215</v>
      </c>
      <c r="AO7" s="806">
        <f t="shared" si="26"/>
        <v>0.38455978610150215</v>
      </c>
      <c r="AP7" s="806">
        <f t="shared" si="27"/>
        <v>0.38455978610150215</v>
      </c>
      <c r="AQ7" s="591">
        <f t="shared" si="28"/>
        <v>0.38455978610150215</v>
      </c>
      <c r="AR7" s="588"/>
      <c r="AS7" s="827">
        <f>SUM('Cuadro Mando Integral Detallado'!AE38:AE64,'Cuadro Mando Integral Detallado'!AE147:AE154)/COUNT('Cuadro Mando Integral Detallado'!AE38:AE64,'Cuadro Mando Integral Detallado'!AE147:AE154)</f>
        <v>0</v>
      </c>
      <c r="AT7" s="820">
        <f t="shared" si="29"/>
        <v>0</v>
      </c>
      <c r="AU7" s="794">
        <f t="shared" si="30"/>
        <v>0</v>
      </c>
      <c r="AV7" s="794">
        <f t="shared" si="31"/>
        <v>0</v>
      </c>
      <c r="AW7" s="794">
        <f t="shared" si="32"/>
        <v>0</v>
      </c>
      <c r="AX7" s="581">
        <f t="shared" si="33"/>
        <v>0</v>
      </c>
      <c r="AY7" s="827">
        <f>SUM('Cuadro Mando Integral Detallado'!AG38:AG64,'Cuadro Mando Integral Detallado'!AG147:AG154)/COUNT('Cuadro Mando Integral Detallado'!AG38:AG64,'Cuadro Mando Integral Detallado'!AG147:AG154)</f>
        <v>0.38186591557101141</v>
      </c>
      <c r="AZ7" s="820">
        <f>+AY7</f>
        <v>0.38186591557101141</v>
      </c>
      <c r="BA7" s="806">
        <f t="shared" si="34"/>
        <v>0.38186591557101141</v>
      </c>
      <c r="BB7" s="806">
        <f t="shared" si="35"/>
        <v>0.38186591557101141</v>
      </c>
      <c r="BC7" s="806">
        <f t="shared" si="36"/>
        <v>0.38186591557101141</v>
      </c>
      <c r="BD7" s="591">
        <f t="shared" si="37"/>
        <v>0.38186591557101141</v>
      </c>
    </row>
    <row r="8" spans="1:56" ht="54" x14ac:dyDescent="0.25">
      <c r="A8" s="292" t="s">
        <v>888</v>
      </c>
      <c r="B8" s="290"/>
      <c r="C8" s="827">
        <f>SUM('Cuadro Mando Integral Detallado'!J99:J105,'Cuadro Mando Integral Detallado'!J124:J145,'Cuadro Mando Integral Detallado'!J204:J205)/COUNT('Cuadro Mando Integral Detallado'!J99:J105,'Cuadro Mando Integral Detallado'!J124:J145,'Cuadro Mando Integral Detallado'!J204:J205)</f>
        <v>0.81874900787487481</v>
      </c>
      <c r="D8" s="820">
        <f>+C8</f>
        <v>0.81874900787487481</v>
      </c>
      <c r="E8" s="794">
        <f t="shared" si="1"/>
        <v>0.81874900787487481</v>
      </c>
      <c r="F8" s="794">
        <f t="shared" si="2"/>
        <v>0.81874900787487481</v>
      </c>
      <c r="G8" s="794">
        <f t="shared" si="3"/>
        <v>0.81874900787487481</v>
      </c>
      <c r="H8" s="581">
        <f t="shared" si="4"/>
        <v>0.81874900787487481</v>
      </c>
      <c r="I8" s="827">
        <f>SUM('Cuadro Mando Integral Detallado'!L99:L105,'Cuadro Mando Integral Detallado'!L124:L145,'Cuadro Mando Integral Detallado'!L204:L205)/COUNT('Cuadro Mando Integral Detallado'!L99:L105,'Cuadro Mando Integral Detallado'!L124:L145,'Cuadro Mando Integral Detallado'!L204:L205)</f>
        <v>0.18735088440436665</v>
      </c>
      <c r="J8" s="827">
        <f>SUM('Cuadro Mando Integral Detallado'!M99:M105,'Cuadro Mando Integral Detallado'!M124:M145,'Cuadro Mando Integral Detallado'!M204:M205)/COUNT('Cuadro Mando Integral Detallado'!M99:M105,'Cuadro Mando Integral Detallado'!M124:M145,'Cuadro Mando Integral Detallado'!M204:M205)</f>
        <v>0.20742419344769164</v>
      </c>
      <c r="K8" s="809">
        <f t="shared" si="5"/>
        <v>0.18735088440436665</v>
      </c>
      <c r="L8" s="806">
        <f t="shared" si="6"/>
        <v>0.18735088440436665</v>
      </c>
      <c r="M8" s="806">
        <f t="shared" si="7"/>
        <v>0.18735088440436665</v>
      </c>
      <c r="N8" s="806">
        <f t="shared" si="8"/>
        <v>0.18735088440436665</v>
      </c>
      <c r="O8" s="591">
        <f t="shared" si="9"/>
        <v>0.18735088440436665</v>
      </c>
      <c r="P8" s="163"/>
      <c r="Q8" s="827">
        <f>SUM('Cuadro Mando Integral Detallado'!Q99:Q105,'Cuadro Mando Integral Detallado'!Q124:Q145,'Cuadro Mando Integral Detallado'!Q204:Q205)/COUNT('Cuadro Mando Integral Detallado'!Q99:Q105,'Cuadro Mando Integral Detallado'!Q124:Q145,'Cuadro Mando Integral Detallado'!Q204:Q205)</f>
        <v>0.92683118565813771</v>
      </c>
      <c r="R8" s="820">
        <f>+Q8</f>
        <v>0.92683118565813771</v>
      </c>
      <c r="S8" s="794">
        <f t="shared" si="11"/>
        <v>0.92683118565813771</v>
      </c>
      <c r="T8" s="794">
        <f t="shared" si="12"/>
        <v>0.92683118565813771</v>
      </c>
      <c r="U8" s="794">
        <f t="shared" si="13"/>
        <v>0.92683118565813771</v>
      </c>
      <c r="V8" s="581">
        <f t="shared" si="14"/>
        <v>0.92683118565813771</v>
      </c>
      <c r="W8" s="827">
        <f>SUM('Cuadro Mando Integral Detallado'!S99:S105,'Cuadro Mando Integral Detallado'!S124:S145,'Cuadro Mando Integral Detallado'!S204:S205)/COUNT('Cuadro Mando Integral Detallado'!S99:S105,'Cuadro Mando Integral Detallado'!S124:S145,'Cuadro Mando Integral Detallado'!S204:S205)</f>
        <v>0.40397023843377983</v>
      </c>
      <c r="X8" s="827">
        <f>SUM('Cuadro Mando Integral Detallado'!T99:T105,'Cuadro Mando Integral Detallado'!T124:T145,'Cuadro Mando Integral Detallado'!T204:T205)/COUNT('Cuadro Mando Integral Detallado'!T99:T105,'Cuadro Mando Integral Detallado'!T124:T145,'Cuadro Mando Integral Detallado'!T204:T205)</f>
        <v>0.44725276398025621</v>
      </c>
      <c r="Y8" s="809">
        <f t="shared" si="15"/>
        <v>0.40397023843377983</v>
      </c>
      <c r="Z8" s="806">
        <f t="shared" si="16"/>
        <v>0.40397023843377983</v>
      </c>
      <c r="AA8" s="806">
        <f t="shared" si="17"/>
        <v>0.40397023843377983</v>
      </c>
      <c r="AB8" s="806">
        <f t="shared" si="18"/>
        <v>0.40397023843377983</v>
      </c>
      <c r="AC8" s="591">
        <f t="shared" si="19"/>
        <v>0.40397023843377983</v>
      </c>
      <c r="AD8" s="588"/>
      <c r="AE8" s="827">
        <f>SUM('Cuadro Mando Integral Detallado'!X99:X105,'Cuadro Mando Integral Detallado'!X124:X145,'Cuadro Mando Integral Detallado'!X204:X205)/COUNT('Cuadro Mando Integral Detallado'!X99:X105,'Cuadro Mando Integral Detallado'!X124:X145,'Cuadro Mando Integral Detallado'!X204:X205)</f>
        <v>0</v>
      </c>
      <c r="AF8" s="820">
        <f t="shared" si="20"/>
        <v>0</v>
      </c>
      <c r="AG8" s="794">
        <f t="shared" si="21"/>
        <v>0</v>
      </c>
      <c r="AH8" s="794">
        <f t="shared" si="22"/>
        <v>0</v>
      </c>
      <c r="AI8" s="794">
        <f>+AE8</f>
        <v>0</v>
      </c>
      <c r="AJ8" s="581">
        <f t="shared" si="23"/>
        <v>0</v>
      </c>
      <c r="AK8" s="827">
        <f>SUM('Cuadro Mando Integral Detallado'!Z99:Z105,'Cuadro Mando Integral Detallado'!Z124:Z145,'Cuadro Mando Integral Detallado'!Z204:Z205)/COUNT('Cuadro Mando Integral Detallado'!Z99:Z105,'Cuadro Mando Integral Detallado'!Z124:Z145,'Cuadro Mando Integral Detallado'!Z204:Z205)</f>
        <v>0.41679417524204354</v>
      </c>
      <c r="AL8" s="827">
        <f>SUM('Cuadro Mando Integral Detallado'!AA99:AA105,'Cuadro Mando Integral Detallado'!AA124:AA145,'Cuadro Mando Integral Detallado'!AA204:AA205)/COUNT('Cuadro Mando Integral Detallado'!AA99:AA105,'Cuadro Mando Integral Detallado'!AA124:AA145,'Cuadro Mando Integral Detallado'!AA204:AA205)</f>
        <v>0.46145069401797673</v>
      </c>
      <c r="AM8" s="820">
        <f t="shared" si="24"/>
        <v>0.41679417524204354</v>
      </c>
      <c r="AN8" s="806">
        <f t="shared" si="25"/>
        <v>0.41679417524204354</v>
      </c>
      <c r="AO8" s="806">
        <f t="shared" si="26"/>
        <v>0.41679417524204354</v>
      </c>
      <c r="AP8" s="806">
        <f t="shared" si="27"/>
        <v>0.41679417524204354</v>
      </c>
      <c r="AQ8" s="591">
        <f t="shared" si="28"/>
        <v>0.41679417524204354</v>
      </c>
      <c r="AR8" s="588"/>
      <c r="AS8" s="827">
        <f>SUM('Cuadro Mando Integral Detallado'!AE99:AE105,'Cuadro Mando Integral Detallado'!AE124:AE145,'Cuadro Mando Integral Detallado'!AE204:AE205)/COUNT('Cuadro Mando Integral Detallado'!AE99:AE105,'Cuadro Mando Integral Detallado'!AE124:AE145,'Cuadro Mando Integral Detallado'!AE204:AE205)</f>
        <v>0</v>
      </c>
      <c r="AT8" s="820">
        <f t="shared" si="29"/>
        <v>0</v>
      </c>
      <c r="AU8" s="794">
        <f t="shared" si="30"/>
        <v>0</v>
      </c>
      <c r="AV8" s="794">
        <f t="shared" si="31"/>
        <v>0</v>
      </c>
      <c r="AW8" s="794">
        <f t="shared" si="32"/>
        <v>0</v>
      </c>
      <c r="AX8" s="581">
        <f t="shared" si="33"/>
        <v>0</v>
      </c>
      <c r="AY8" s="827">
        <f>SUM('Cuadro Mando Integral Detallado'!AG99:AG105,'Cuadro Mando Integral Detallado'!AG124:AG145,'Cuadro Mando Integral Detallado'!AG204:AN205)/COUNT('Cuadro Mando Integral Detallado'!AG99:AG105,'Cuadro Mando Integral Detallado'!AG124:AG145,'Cuadro Mando Integral Detallado'!AG204:AG205)</f>
        <v>0.42485869137107579</v>
      </c>
      <c r="AZ8" s="820">
        <f>+AY8</f>
        <v>0.42485869137107579</v>
      </c>
      <c r="BA8" s="806">
        <f t="shared" si="34"/>
        <v>0.42485869137107579</v>
      </c>
      <c r="BB8" s="806">
        <f t="shared" si="35"/>
        <v>0.42485869137107579</v>
      </c>
      <c r="BC8" s="806">
        <f t="shared" si="36"/>
        <v>0.42485869137107579</v>
      </c>
      <c r="BD8" s="591">
        <f t="shared" si="37"/>
        <v>0.42485869137107579</v>
      </c>
    </row>
    <row r="9" spans="1:56" ht="36" x14ac:dyDescent="0.25">
      <c r="A9" s="292" t="s">
        <v>889</v>
      </c>
      <c r="B9" s="290"/>
      <c r="C9" s="827">
        <f>SUM('Cuadro Mando Integral Detallado'!J66:J76,'Cuadro Mando Integral Detallado'!J207:J209)/COUNT('Cuadro Mando Integral Detallado'!J66:J76,'Cuadro Mando Integral Detallado'!J207:J209)</f>
        <v>0.71162980680661669</v>
      </c>
      <c r="D9" s="820">
        <f>+C9</f>
        <v>0.71162980680661669</v>
      </c>
      <c r="E9" s="794">
        <f t="shared" si="1"/>
        <v>0.71162980680661669</v>
      </c>
      <c r="F9" s="794">
        <f t="shared" si="2"/>
        <v>0.71162980680661669</v>
      </c>
      <c r="G9" s="794">
        <f t="shared" si="3"/>
        <v>0.71162980680661669</v>
      </c>
      <c r="H9" s="581">
        <f t="shared" si="4"/>
        <v>0.71162980680661669</v>
      </c>
      <c r="I9" s="827">
        <f>SUM('Cuadro Mando Integral Detallado'!L66:L76,'Cuadro Mando Integral Detallado'!L207:L209)/COUNT('Cuadro Mando Integral Detallado'!L66:L76,'Cuadro Mando Integral Detallado'!L207:L209)</f>
        <v>6.3882877054895884E-2</v>
      </c>
      <c r="J9" s="827">
        <f>SUM('Cuadro Mando Integral Detallado'!M66:M76,'Cuadro Mando Integral Detallado'!M207:M209)/COUNT('Cuadro Mando Integral Detallado'!M66:M76,'Cuadro Mando Integral Detallado'!M207:M209)</f>
        <v>9.9373364307615827E-2</v>
      </c>
      <c r="K9" s="809">
        <f t="shared" si="5"/>
        <v>6.3882877054895884E-2</v>
      </c>
      <c r="L9" s="806">
        <f t="shared" si="6"/>
        <v>6.3882877054895884E-2</v>
      </c>
      <c r="M9" s="806">
        <f t="shared" si="7"/>
        <v>6.3882877054895884E-2</v>
      </c>
      <c r="N9" s="806">
        <f t="shared" si="8"/>
        <v>6.3882877054895884E-2</v>
      </c>
      <c r="O9" s="591">
        <f t="shared" si="9"/>
        <v>6.3882877054895884E-2</v>
      </c>
      <c r="P9" s="163"/>
      <c r="Q9" s="827">
        <f>SUM('Cuadro Mando Integral Detallado'!Q66:Q76,'Cuadro Mando Integral Detallado'!Q207:Q209)/COUNT('Cuadro Mando Integral Detallado'!Q66:Q76,'Cuadro Mando Integral Detallado'!Q207:Q209)</f>
        <v>0.61489827069520941</v>
      </c>
      <c r="R9" s="820">
        <f>+Q9</f>
        <v>0.61489827069520941</v>
      </c>
      <c r="S9" s="794">
        <f t="shared" si="11"/>
        <v>0.61489827069520941</v>
      </c>
      <c r="T9" s="794">
        <f t="shared" si="12"/>
        <v>0.61489827069520941</v>
      </c>
      <c r="U9" s="794">
        <f t="shared" si="13"/>
        <v>0.61489827069520941</v>
      </c>
      <c r="V9" s="581">
        <f t="shared" si="14"/>
        <v>0.61489827069520941</v>
      </c>
      <c r="W9" s="827">
        <f>SUM('Cuadro Mando Integral Detallado'!S66:S76,'Cuadro Mando Integral Detallado'!S207:S209)/COUNT('Cuadro Mando Integral Detallado'!S66:S76,'Cuadro Mando Integral Detallado'!S207:S209)</f>
        <v>0.19229546262717281</v>
      </c>
      <c r="X9" s="827">
        <f>SUM('Cuadro Mando Integral Detallado'!T66:T76,'Cuadro Mando Integral Detallado'!T207:T209)/COUNT('Cuadro Mando Integral Detallado'!T66:T76,'Cuadro Mando Integral Detallado'!T207:T209)</f>
        <v>0.22434470639836826</v>
      </c>
      <c r="Y9" s="809">
        <f t="shared" si="15"/>
        <v>0.19229546262717281</v>
      </c>
      <c r="Z9" s="806">
        <f t="shared" si="16"/>
        <v>0.19229546262717281</v>
      </c>
      <c r="AA9" s="806">
        <f t="shared" si="17"/>
        <v>0.19229546262717281</v>
      </c>
      <c r="AB9" s="806">
        <f t="shared" si="18"/>
        <v>0.19229546262717281</v>
      </c>
      <c r="AC9" s="591">
        <f t="shared" si="19"/>
        <v>0.19229546262717281</v>
      </c>
      <c r="AD9" s="588"/>
      <c r="AE9" s="827">
        <f>SUM('Cuadro Mando Integral Detallado'!X66:X76,'Cuadro Mando Integral Detallado'!X207:X209)/COUNT('Cuadro Mando Integral Detallado'!X66:X76,'Cuadro Mando Integral Detallado'!X207:X209)</f>
        <v>0</v>
      </c>
      <c r="AF9" s="820">
        <f t="shared" si="20"/>
        <v>0</v>
      </c>
      <c r="AG9" s="794">
        <f t="shared" si="21"/>
        <v>0</v>
      </c>
      <c r="AH9" s="794">
        <f t="shared" si="22"/>
        <v>0</v>
      </c>
      <c r="AI9" s="794">
        <f>+AE9</f>
        <v>0</v>
      </c>
      <c r="AJ9" s="581">
        <f t="shared" si="23"/>
        <v>0</v>
      </c>
      <c r="AK9" s="827">
        <f>SUM('Cuadro Mando Integral Detallado'!Z66:Z76,'Cuadro Mando Integral Detallado'!Z207:Z209)/COUNT('Cuadro Mando Integral Detallado'!Z66:Z76,'Cuadro Mando Integral Detallado'!Z207:Z209)</f>
        <v>0.19229546262717281</v>
      </c>
      <c r="AL9" s="827">
        <f>SUM('Cuadro Mando Integral Detallado'!AA66:AA76,'Cuadro Mando Integral Detallado'!AA207:AA209)/COUNT('Cuadro Mando Integral Detallado'!AA66:AA76,'Cuadro Mando Integral Detallado'!AA207:AA209)</f>
        <v>0.19229546262717281</v>
      </c>
      <c r="AM9" s="820">
        <f t="shared" si="24"/>
        <v>0.19229546262717281</v>
      </c>
      <c r="AN9" s="806">
        <f t="shared" si="25"/>
        <v>0.19229546262717281</v>
      </c>
      <c r="AO9" s="806">
        <f t="shared" si="26"/>
        <v>0.19229546262717281</v>
      </c>
      <c r="AP9" s="806">
        <f t="shared" si="27"/>
        <v>0.19229546262717281</v>
      </c>
      <c r="AQ9" s="591">
        <f t="shared" si="28"/>
        <v>0.19229546262717281</v>
      </c>
      <c r="AR9" s="588"/>
      <c r="AS9" s="827">
        <f>SUM('Cuadro Mando Integral Detallado'!AE66:AE76,'Cuadro Mando Integral Detallado'!AE207:AE209)/COUNT('Cuadro Mando Integral Detallado'!AE66:AE76,'Cuadro Mando Integral Detallado'!AS207:AS209)</f>
        <v>0</v>
      </c>
      <c r="AT9" s="820">
        <f t="shared" si="29"/>
        <v>0</v>
      </c>
      <c r="AU9" s="794">
        <f t="shared" si="30"/>
        <v>0</v>
      </c>
      <c r="AV9" s="794">
        <f t="shared" si="31"/>
        <v>0</v>
      </c>
      <c r="AW9" s="794">
        <f t="shared" si="32"/>
        <v>0</v>
      </c>
      <c r="AX9" s="581">
        <f t="shared" si="33"/>
        <v>0</v>
      </c>
      <c r="AY9" s="827">
        <f>SUM('Cuadro Mando Integral Detallado'!AG66:AG76,'Cuadro Mando Integral Detallado'!AG207:AG209)/COUNT('Cuadro Mando Integral Detallado'!AG66:AG76,'Cuadro Mando Integral Detallado'!AG207:AG209)</f>
        <v>0.19229546262717281</v>
      </c>
      <c r="AZ9" s="820">
        <f t="shared" ref="AZ9:AZ11" si="38">+AY9</f>
        <v>0.19229546262717281</v>
      </c>
      <c r="BA9" s="806">
        <f t="shared" si="34"/>
        <v>0.19229546262717281</v>
      </c>
      <c r="BB9" s="806">
        <f t="shared" si="35"/>
        <v>0.19229546262717281</v>
      </c>
      <c r="BC9" s="806">
        <f t="shared" si="36"/>
        <v>0.19229546262717281</v>
      </c>
      <c r="BD9" s="591">
        <f t="shared" si="37"/>
        <v>0.19229546262717281</v>
      </c>
    </row>
    <row r="10" spans="1:56" ht="36" x14ac:dyDescent="0.25">
      <c r="A10" s="292" t="s">
        <v>146</v>
      </c>
      <c r="B10" s="290"/>
      <c r="C10" s="827">
        <f>SUM('Cuadro Mando Integral Detallado'!J78:J97,'Cuadro Mando Integral Detallado'!J156:J166,'Cuadro Mando Integral Detallado'!J211:J217)/COUNT('Cuadro Mando Integral Detallado'!J78:J97,'Cuadro Mando Integral Detallado'!J156:J166,'Cuadro Mando Integral Detallado'!J211:J217)</f>
        <v>0.467151942417321</v>
      </c>
      <c r="D10" s="820">
        <f>+C10</f>
        <v>0.467151942417321</v>
      </c>
      <c r="E10" s="794">
        <f t="shared" si="1"/>
        <v>0.467151942417321</v>
      </c>
      <c r="F10" s="794">
        <f t="shared" si="2"/>
        <v>0.467151942417321</v>
      </c>
      <c r="G10" s="794">
        <f t="shared" si="3"/>
        <v>0.467151942417321</v>
      </c>
      <c r="H10" s="581">
        <f t="shared" si="4"/>
        <v>0.467151942417321</v>
      </c>
      <c r="I10" s="827">
        <f>SUM('Cuadro Mando Integral Detallado'!L78:L97,'Cuadro Mando Integral Detallado'!L156:L166,'Cuadro Mando Integral Detallado'!L211:L217)/COUNT('Cuadro Mando Integral Detallado'!L78:L97,'Cuadro Mando Integral Detallado'!L156:L166,'Cuadro Mando Integral Detallado'!L211:L217)</f>
        <v>0.10870603937240943</v>
      </c>
      <c r="J10" s="827">
        <f>SUM('Cuadro Mando Integral Detallado'!M78:M97,'Cuadro Mando Integral Detallado'!M156:M166,'Cuadro Mando Integral Detallado'!M211:M217)/COUNT('Cuadro Mando Integral Detallado'!M78:M97,'Cuadro Mando Integral Detallado'!M156:M166,'Cuadro Mando Integral Detallado'!M211:M217)</f>
        <v>0.11802369989004452</v>
      </c>
      <c r="K10" s="809">
        <f>+I10</f>
        <v>0.10870603937240943</v>
      </c>
      <c r="L10" s="806">
        <f t="shared" si="6"/>
        <v>0.10870603937240943</v>
      </c>
      <c r="M10" s="806">
        <f t="shared" si="7"/>
        <v>0.10870603937240943</v>
      </c>
      <c r="N10" s="806">
        <f t="shared" si="8"/>
        <v>0.10870603937240943</v>
      </c>
      <c r="O10" s="591">
        <f t="shared" si="9"/>
        <v>0.10870603937240943</v>
      </c>
      <c r="P10" s="163"/>
      <c r="Q10" s="827">
        <f>SUM('Cuadro Mando Integral Detallado'!Q78:Q97,'Cuadro Mando Integral Detallado'!Q156:Q166,'Cuadro Mando Integral Detallado'!Q211:Q217)/COUNT('Cuadro Mando Integral Detallado'!Q78:Q97,'Cuadro Mando Integral Detallado'!Q156:Q166,'Cuadro Mando Integral Detallado'!Q211:Q217)</f>
        <v>0.68546988056798797</v>
      </c>
      <c r="R10" s="820">
        <f t="shared" si="10"/>
        <v>0.68546988056798797</v>
      </c>
      <c r="S10" s="794">
        <f t="shared" si="11"/>
        <v>0.68546988056798797</v>
      </c>
      <c r="T10" s="794">
        <f t="shared" si="12"/>
        <v>0.68546988056798797</v>
      </c>
      <c r="U10" s="794">
        <f t="shared" si="13"/>
        <v>0.68546988056798797</v>
      </c>
      <c r="V10" s="581">
        <f t="shared" si="14"/>
        <v>0.68546988056798797</v>
      </c>
      <c r="W10" s="827">
        <f>SUM('Cuadro Mando Integral Detallado'!S78:S97,'Cuadro Mando Integral Detallado'!S156:S166,'Cuadro Mando Integral Detallado'!S211:S217)/COUNT('Cuadro Mando Integral Detallado'!S78:S97,'Cuadro Mando Integral Detallado'!S156:S166,'Cuadro Mando Integral Detallado'!S211:S217)</f>
        <v>0.298046794420674</v>
      </c>
      <c r="X10" s="827">
        <f>SUM('Cuadro Mando Integral Detallado'!T78:T97,'Cuadro Mando Integral Detallado'!T156:T166,'Cuadro Mando Integral Detallado'!T211:T217)/COUNT('Cuadro Mando Integral Detallado'!T78:T97,'Cuadro Mando Integral Detallado'!T156:T166,'Cuadro Mando Integral Detallado'!T211:T217)</f>
        <v>0.32785147386274144</v>
      </c>
      <c r="Y10" s="809">
        <f>+W10</f>
        <v>0.298046794420674</v>
      </c>
      <c r="Z10" s="806">
        <f t="shared" si="16"/>
        <v>0.298046794420674</v>
      </c>
      <c r="AA10" s="806">
        <f t="shared" si="17"/>
        <v>0.298046794420674</v>
      </c>
      <c r="AB10" s="806">
        <f t="shared" si="18"/>
        <v>0.298046794420674</v>
      </c>
      <c r="AC10" s="591">
        <f t="shared" si="19"/>
        <v>0.298046794420674</v>
      </c>
      <c r="AD10" s="588"/>
      <c r="AE10" s="827">
        <f>SUM('Cuadro Mando Integral Detallado'!X78:X97,'Cuadro Mando Integral Detallado'!X156:X166,'Cuadro Mando Integral Detallado'!X211:X217)/COUNT('Cuadro Mando Integral Detallado'!X78:X97,'Cuadro Mando Integral Detallado'!X156:X166,'Cuadro Mando Integral Detallado'!X211:X217)</f>
        <v>0</v>
      </c>
      <c r="AF10" s="820">
        <f t="shared" si="20"/>
        <v>0</v>
      </c>
      <c r="AG10" s="794">
        <f t="shared" si="21"/>
        <v>0</v>
      </c>
      <c r="AH10" s="794">
        <f t="shared" si="22"/>
        <v>0</v>
      </c>
      <c r="AI10" s="794">
        <f>+AE10</f>
        <v>0</v>
      </c>
      <c r="AJ10" s="581">
        <f t="shared" si="23"/>
        <v>0</v>
      </c>
      <c r="AK10" s="827">
        <f>SUM('Cuadro Mando Integral Detallado'!Z78:Z97,'Cuadro Mando Integral Detallado'!Z156:Z166,'Cuadro Mando Integral Detallado'!Z211:Z217)/COUNT('Cuadro Mando Integral Detallado'!Z78:Z97,'Cuadro Mando Integral Detallado'!Z156:Z166,'Cuadro Mando Integral Detallado'!Z211:Z217)</f>
        <v>0.298046794420674</v>
      </c>
      <c r="AL10" s="827">
        <f>SUM('Cuadro Mando Integral Detallado'!AA78:AA97,'Cuadro Mando Integral Detallado'!AA156:AA166,'Cuadro Mando Integral Detallado'!AA211:AA217)/COUNT('Cuadro Mando Integral Detallado'!AA78:AA97,'Cuadro Mando Integral Detallado'!AA156:AA166,'Cuadro Mando Integral Detallado'!AA211:AA217)</f>
        <v>0.298046794420674</v>
      </c>
      <c r="AM10" s="820">
        <f t="shared" si="24"/>
        <v>0.298046794420674</v>
      </c>
      <c r="AN10" s="806">
        <f t="shared" si="25"/>
        <v>0.298046794420674</v>
      </c>
      <c r="AO10" s="806">
        <f t="shared" si="26"/>
        <v>0.298046794420674</v>
      </c>
      <c r="AP10" s="806">
        <f t="shared" si="27"/>
        <v>0.298046794420674</v>
      </c>
      <c r="AQ10" s="591">
        <f t="shared" si="28"/>
        <v>0.298046794420674</v>
      </c>
      <c r="AR10" s="588"/>
      <c r="AS10" s="827">
        <f>SUM('Cuadro Mando Integral Detallado'!AE78:AE97,'Cuadro Mando Integral Detallado'!AE156:AE166,'Cuadro Mando Integral Detallado'!AE211:AE217)/COUNT('Cuadro Mando Integral Detallado'!AE78:AE97,'Cuadro Mando Integral Detallado'!AE156:AE166,'Cuadro Mando Integral Detallado'!AE211:AE217)</f>
        <v>0</v>
      </c>
      <c r="AT10" s="820">
        <f t="shared" si="29"/>
        <v>0</v>
      </c>
      <c r="AU10" s="794">
        <f t="shared" si="30"/>
        <v>0</v>
      </c>
      <c r="AV10" s="794">
        <f t="shared" si="31"/>
        <v>0</v>
      </c>
      <c r="AW10" s="794">
        <f t="shared" si="32"/>
        <v>0</v>
      </c>
      <c r="AX10" s="581">
        <f t="shared" si="33"/>
        <v>0</v>
      </c>
      <c r="AY10" s="827">
        <f>SUM('Cuadro Mando Integral Detallado'!AG78:AG97,'Cuadro Mando Integral Detallado'!AG156:AG166,'Cuadro Mando Integral Detallado'!AG211:AG217)/COUNT('Cuadro Mando Integral Detallado'!AG78:AG97,'Cuadro Mando Integral Detallado'!AG156:AG166,'Cuadro Mando Integral Detallado'!AG211:AG217)</f>
        <v>0.298046794420674</v>
      </c>
      <c r="AZ10" s="820">
        <f t="shared" si="38"/>
        <v>0.298046794420674</v>
      </c>
      <c r="BA10" s="806">
        <f t="shared" si="34"/>
        <v>0.298046794420674</v>
      </c>
      <c r="BB10" s="806">
        <f t="shared" si="35"/>
        <v>0.298046794420674</v>
      </c>
      <c r="BC10" s="806">
        <f t="shared" si="36"/>
        <v>0.298046794420674</v>
      </c>
      <c r="BD10" s="591">
        <f t="shared" si="37"/>
        <v>0.298046794420674</v>
      </c>
    </row>
    <row r="11" spans="1:56" ht="36.75" thickBot="1" x14ac:dyDescent="0.3">
      <c r="A11" s="293" t="s">
        <v>890</v>
      </c>
      <c r="B11" s="290"/>
      <c r="C11" s="829">
        <f>SUM('Cuadro Mando Integral Detallado'!J168:J176)/COUNT('Cuadro Mando Integral Detallado'!J168:J176)</f>
        <v>1</v>
      </c>
      <c r="D11" s="821">
        <f>+C11</f>
        <v>1</v>
      </c>
      <c r="E11" s="796">
        <f t="shared" si="1"/>
        <v>1</v>
      </c>
      <c r="F11" s="796">
        <f t="shared" si="2"/>
        <v>1</v>
      </c>
      <c r="G11" s="796">
        <f t="shared" si="3"/>
        <v>1</v>
      </c>
      <c r="H11" s="582">
        <f t="shared" si="4"/>
        <v>1</v>
      </c>
      <c r="I11" s="829">
        <f>SUM('Cuadro Mando Integral Detallado'!L168:L176)/COUNT('Cuadro Mando Integral Detallado'!L168:L176)</f>
        <v>0.25</v>
      </c>
      <c r="J11" s="829">
        <f>SUM('Cuadro Mando Integral Detallado'!M168:M176)/COUNT('Cuadro Mando Integral Detallado'!M168:M176)</f>
        <v>0.25</v>
      </c>
      <c r="K11" s="810">
        <f t="shared" si="5"/>
        <v>0.25</v>
      </c>
      <c r="L11" s="811">
        <f t="shared" si="6"/>
        <v>0.25</v>
      </c>
      <c r="M11" s="811">
        <f t="shared" si="7"/>
        <v>0.25</v>
      </c>
      <c r="N11" s="811">
        <f t="shared" si="8"/>
        <v>0.25</v>
      </c>
      <c r="O11" s="592">
        <f t="shared" si="9"/>
        <v>0.25</v>
      </c>
      <c r="P11" s="163"/>
      <c r="Q11" s="829">
        <f>SUM('Cuadro Mando Integral Detallado'!Q168:Q176)/COUNT('Cuadro Mando Integral Detallado'!Q168:Q176)</f>
        <v>1</v>
      </c>
      <c r="R11" s="821">
        <f t="shared" si="10"/>
        <v>1</v>
      </c>
      <c r="S11" s="796">
        <f t="shared" si="11"/>
        <v>1</v>
      </c>
      <c r="T11" s="796">
        <f t="shared" si="12"/>
        <v>1</v>
      </c>
      <c r="U11" s="796">
        <f t="shared" si="13"/>
        <v>1</v>
      </c>
      <c r="V11" s="582">
        <f t="shared" si="14"/>
        <v>1</v>
      </c>
      <c r="W11" s="829">
        <f>SUM('Cuadro Mando Integral Detallado'!S168:S176)/COUNT('Cuadro Mando Integral Detallado'!S168:S176)</f>
        <v>0.5</v>
      </c>
      <c r="X11" s="829">
        <f>SUM('Cuadro Mando Integral Detallado'!T168:T176)/COUNT('Cuadro Mando Integral Detallado'!T168:T176)</f>
        <v>0.5</v>
      </c>
      <c r="Y11" s="810">
        <f>+W11</f>
        <v>0.5</v>
      </c>
      <c r="Z11" s="811">
        <f t="shared" si="16"/>
        <v>0.5</v>
      </c>
      <c r="AA11" s="811">
        <f t="shared" si="17"/>
        <v>0.5</v>
      </c>
      <c r="AB11" s="811">
        <f t="shared" si="18"/>
        <v>0.5</v>
      </c>
      <c r="AC11" s="592">
        <f t="shared" si="19"/>
        <v>0.5</v>
      </c>
      <c r="AD11" s="588"/>
      <c r="AE11" s="829">
        <f>SUM('Cuadro Mando Integral Detallado'!X168:X176)/COUNT('Cuadro Mando Integral Detallado'!X168:X176)</f>
        <v>0</v>
      </c>
      <c r="AF11" s="821">
        <f t="shared" si="20"/>
        <v>0</v>
      </c>
      <c r="AG11" s="796">
        <f t="shared" si="21"/>
        <v>0</v>
      </c>
      <c r="AH11" s="796">
        <f t="shared" si="22"/>
        <v>0</v>
      </c>
      <c r="AI11" s="796">
        <f>+AD11</f>
        <v>0</v>
      </c>
      <c r="AJ11" s="582">
        <f t="shared" si="23"/>
        <v>0</v>
      </c>
      <c r="AK11" s="829">
        <f>SUM('Cuadro Mando Integral Detallado'!Z168:Z176)/COUNT('Cuadro Mando Integral Detallado'!Z168:Z176)</f>
        <v>0.5</v>
      </c>
      <c r="AL11" s="829">
        <f>SUM('Cuadro Mando Integral Detallado'!AA168:AA176)/COUNT('Cuadro Mando Integral Detallado'!AA168:AA176)</f>
        <v>0.5</v>
      </c>
      <c r="AM11" s="821">
        <f t="shared" si="24"/>
        <v>0.5</v>
      </c>
      <c r="AN11" s="811">
        <f t="shared" si="25"/>
        <v>0.5</v>
      </c>
      <c r="AO11" s="811">
        <f t="shared" si="26"/>
        <v>0.5</v>
      </c>
      <c r="AP11" s="811">
        <f t="shared" si="27"/>
        <v>0.5</v>
      </c>
      <c r="AQ11" s="592">
        <f t="shared" si="28"/>
        <v>0.5</v>
      </c>
      <c r="AR11" s="588"/>
      <c r="AS11" s="829">
        <f>SUM('Cuadro Mando Integral Detallado'!AE168:AE176)/COUNT('Cuadro Mando Integral Detallado'!AE168:AE176)</f>
        <v>0</v>
      </c>
      <c r="AT11" s="821">
        <f t="shared" si="29"/>
        <v>0</v>
      </c>
      <c r="AU11" s="796">
        <f t="shared" si="30"/>
        <v>0</v>
      </c>
      <c r="AV11" s="796">
        <f t="shared" si="31"/>
        <v>0</v>
      </c>
      <c r="AW11" s="796">
        <f t="shared" si="32"/>
        <v>0</v>
      </c>
      <c r="AX11" s="582">
        <f t="shared" si="33"/>
        <v>0</v>
      </c>
      <c r="AY11" s="829">
        <f>SUM('Cuadro Mando Integral Detallado'!AG168:AG176)/COUNT('Cuadro Mando Integral Detallado'!AG168:AG176)</f>
        <v>0.5</v>
      </c>
      <c r="AZ11" s="821">
        <f t="shared" si="38"/>
        <v>0.5</v>
      </c>
      <c r="BA11" s="811">
        <f t="shared" si="34"/>
        <v>0.5</v>
      </c>
      <c r="BB11" s="811">
        <f t="shared" si="35"/>
        <v>0.5</v>
      </c>
      <c r="BC11" s="811">
        <f t="shared" si="36"/>
        <v>0.5</v>
      </c>
      <c r="BD11" s="592">
        <f t="shared" si="37"/>
        <v>0.5</v>
      </c>
    </row>
  </sheetData>
  <mergeCells count="18">
    <mergeCell ref="AS5:AX5"/>
    <mergeCell ref="AY5:BD5"/>
    <mergeCell ref="C5:H5"/>
    <mergeCell ref="I5:O5"/>
    <mergeCell ref="Q5:V5"/>
    <mergeCell ref="W5:AC5"/>
    <mergeCell ref="AE5:AJ5"/>
    <mergeCell ref="AK5:AQ5"/>
    <mergeCell ref="A1:A3"/>
    <mergeCell ref="B1:H1"/>
    <mergeCell ref="I1:AR1"/>
    <mergeCell ref="AS1:BD3"/>
    <mergeCell ref="B2:H2"/>
    <mergeCell ref="I2:AR2"/>
    <mergeCell ref="B3:H3"/>
    <mergeCell ref="I3:O3"/>
    <mergeCell ref="P3:AJ3"/>
    <mergeCell ref="AM3:AR3"/>
  </mergeCells>
  <conditionalFormatting sqref="D6">
    <cfRule type="cellIs" dxfId="967" priority="240" stopIfTrue="1" operator="between">
      <formula>0</formula>
      <formula>0.5</formula>
    </cfRule>
  </conditionalFormatting>
  <conditionalFormatting sqref="E6">
    <cfRule type="cellIs" dxfId="966" priority="239" operator="between">
      <formula>0.51</formula>
      <formula>0.75</formula>
    </cfRule>
  </conditionalFormatting>
  <conditionalFormatting sqref="F6">
    <cfRule type="cellIs" dxfId="965" priority="238" operator="between">
      <formula>0.7505</formula>
      <formula>0.95</formula>
    </cfRule>
  </conditionalFormatting>
  <conditionalFormatting sqref="G6">
    <cfRule type="cellIs" dxfId="964" priority="237" operator="between">
      <formula>0.95</formula>
      <formula>1</formula>
    </cfRule>
  </conditionalFormatting>
  <conditionalFormatting sqref="H6">
    <cfRule type="cellIs" dxfId="963" priority="236" operator="greaterThan">
      <formula>1</formula>
    </cfRule>
  </conditionalFormatting>
  <conditionalFormatting sqref="D7">
    <cfRule type="cellIs" dxfId="962" priority="235" stopIfTrue="1" operator="between">
      <formula>0</formula>
      <formula>0.5</formula>
    </cfRule>
  </conditionalFormatting>
  <conditionalFormatting sqref="E7">
    <cfRule type="cellIs" dxfId="961" priority="234" operator="between">
      <formula>0.51</formula>
      <formula>0.75</formula>
    </cfRule>
  </conditionalFormatting>
  <conditionalFormatting sqref="F7">
    <cfRule type="cellIs" dxfId="960" priority="233" operator="between">
      <formula>0.76</formula>
      <formula>0.95</formula>
    </cfRule>
  </conditionalFormatting>
  <conditionalFormatting sqref="G7">
    <cfRule type="cellIs" dxfId="959" priority="232" operator="between">
      <formula>0.95</formula>
      <formula>1</formula>
    </cfRule>
  </conditionalFormatting>
  <conditionalFormatting sqref="H7">
    <cfRule type="cellIs" dxfId="958" priority="231" operator="greaterThan">
      <formula>1</formula>
    </cfRule>
  </conditionalFormatting>
  <conditionalFormatting sqref="D8">
    <cfRule type="cellIs" dxfId="957" priority="230" stopIfTrue="1" operator="between">
      <formula>0</formula>
      <formula>0.5</formula>
    </cfRule>
  </conditionalFormatting>
  <conditionalFormatting sqref="E8">
    <cfRule type="cellIs" dxfId="956" priority="229" operator="between">
      <formula>0.51</formula>
      <formula>0.75</formula>
    </cfRule>
  </conditionalFormatting>
  <conditionalFormatting sqref="F8">
    <cfRule type="cellIs" dxfId="955" priority="228" operator="between">
      <formula>0.76</formula>
      <formula>0.95</formula>
    </cfRule>
  </conditionalFormatting>
  <conditionalFormatting sqref="G8">
    <cfRule type="cellIs" dxfId="954" priority="227" operator="between">
      <formula>0.95</formula>
      <formula>1</formula>
    </cfRule>
  </conditionalFormatting>
  <conditionalFormatting sqref="H8">
    <cfRule type="cellIs" dxfId="953" priority="226" operator="greaterThan">
      <formula>1</formula>
    </cfRule>
  </conditionalFormatting>
  <conditionalFormatting sqref="D9">
    <cfRule type="cellIs" dxfId="952" priority="225" stopIfTrue="1" operator="between">
      <formula>0</formula>
      <formula>0.5</formula>
    </cfRule>
  </conditionalFormatting>
  <conditionalFormatting sqref="E9">
    <cfRule type="cellIs" dxfId="951" priority="224" operator="between">
      <formula>0.51</formula>
      <formula>0.75</formula>
    </cfRule>
  </conditionalFormatting>
  <conditionalFormatting sqref="F9">
    <cfRule type="cellIs" dxfId="950" priority="223" operator="between">
      <formula>0.76</formula>
      <formula>0.95</formula>
    </cfRule>
  </conditionalFormatting>
  <conditionalFormatting sqref="G9">
    <cfRule type="cellIs" dxfId="949" priority="222" operator="between">
      <formula>0.95</formula>
      <formula>1</formula>
    </cfRule>
  </conditionalFormatting>
  <conditionalFormatting sqref="H9">
    <cfRule type="cellIs" dxfId="948" priority="221" operator="greaterThan">
      <formula>1</formula>
    </cfRule>
  </conditionalFormatting>
  <conditionalFormatting sqref="D10">
    <cfRule type="cellIs" dxfId="947" priority="220" stopIfTrue="1" operator="between">
      <formula>0</formula>
      <formula>0.5</formula>
    </cfRule>
  </conditionalFormatting>
  <conditionalFormatting sqref="E10">
    <cfRule type="cellIs" dxfId="946" priority="219" operator="between">
      <formula>0.51</formula>
      <formula>0.75</formula>
    </cfRule>
  </conditionalFormatting>
  <conditionalFormatting sqref="F10">
    <cfRule type="cellIs" dxfId="945" priority="218" operator="between">
      <formula>0.76</formula>
      <formula>0.95</formula>
    </cfRule>
  </conditionalFormatting>
  <conditionalFormatting sqref="G10">
    <cfRule type="cellIs" dxfId="944" priority="217" operator="between">
      <formula>0.95</formula>
      <formula>1</formula>
    </cfRule>
  </conditionalFormatting>
  <conditionalFormatting sqref="H10">
    <cfRule type="cellIs" dxfId="943" priority="216" operator="greaterThan">
      <formula>1</formula>
    </cfRule>
  </conditionalFormatting>
  <conditionalFormatting sqref="D11">
    <cfRule type="cellIs" dxfId="942" priority="215" stopIfTrue="1" operator="between">
      <formula>0</formula>
      <formula>0.5</formula>
    </cfRule>
  </conditionalFormatting>
  <conditionalFormatting sqref="E11">
    <cfRule type="cellIs" dxfId="941" priority="214" operator="between">
      <formula>0.51</formula>
      <formula>0.75</formula>
    </cfRule>
  </conditionalFormatting>
  <conditionalFormatting sqref="F11">
    <cfRule type="cellIs" dxfId="940" priority="213" operator="between">
      <formula>0.76</formula>
      <formula>0.95</formula>
    </cfRule>
  </conditionalFormatting>
  <conditionalFormatting sqref="G11">
    <cfRule type="cellIs" dxfId="939" priority="212" operator="between">
      <formula>0.95</formula>
      <formula>1</formula>
    </cfRule>
  </conditionalFormatting>
  <conditionalFormatting sqref="H11">
    <cfRule type="cellIs" dxfId="938" priority="211" operator="greaterThan">
      <formula>1</formula>
    </cfRule>
  </conditionalFormatting>
  <conditionalFormatting sqref="K6">
    <cfRule type="cellIs" dxfId="937" priority="210" stopIfTrue="1" operator="between">
      <formula>0</formula>
      <formula>0.125</formula>
    </cfRule>
  </conditionalFormatting>
  <conditionalFormatting sqref="L6">
    <cfRule type="cellIs" dxfId="936" priority="209" operator="between">
      <formula>0.1251</formula>
      <formula>0.19</formula>
    </cfRule>
  </conditionalFormatting>
  <conditionalFormatting sqref="M6">
    <cfRule type="cellIs" dxfId="935" priority="208" operator="between">
      <formula>0.191</formula>
      <formula>0.24</formula>
    </cfRule>
  </conditionalFormatting>
  <conditionalFormatting sqref="N6">
    <cfRule type="cellIs" dxfId="934" priority="207" operator="between">
      <formula>0.2401</formula>
      <formula>0.26</formula>
    </cfRule>
  </conditionalFormatting>
  <conditionalFormatting sqref="O6">
    <cfRule type="cellIs" dxfId="933" priority="206" operator="greaterThan">
      <formula>0.2601</formula>
    </cfRule>
  </conditionalFormatting>
  <conditionalFormatting sqref="K7">
    <cfRule type="cellIs" dxfId="932" priority="205" stopIfTrue="1" operator="between">
      <formula>0</formula>
      <formula>0.125</formula>
    </cfRule>
  </conditionalFormatting>
  <conditionalFormatting sqref="L7">
    <cfRule type="cellIs" dxfId="931" priority="204" operator="between">
      <formula>0.1251</formula>
      <formula>0.19</formula>
    </cfRule>
  </conditionalFormatting>
  <conditionalFormatting sqref="M7">
    <cfRule type="cellIs" dxfId="930" priority="203" operator="between">
      <formula>0.191</formula>
      <formula>0.24</formula>
    </cfRule>
  </conditionalFormatting>
  <conditionalFormatting sqref="N7">
    <cfRule type="cellIs" dxfId="929" priority="202" operator="between">
      <formula>0.2401</formula>
      <formula>0.26</formula>
    </cfRule>
  </conditionalFormatting>
  <conditionalFormatting sqref="O7">
    <cfRule type="cellIs" dxfId="928" priority="201" operator="greaterThan">
      <formula>0.2601</formula>
    </cfRule>
  </conditionalFormatting>
  <conditionalFormatting sqref="K8">
    <cfRule type="cellIs" dxfId="927" priority="200" stopIfTrue="1" operator="between">
      <formula>0</formula>
      <formula>0.125</formula>
    </cfRule>
  </conditionalFormatting>
  <conditionalFormatting sqref="L8">
    <cfRule type="cellIs" dxfId="926" priority="199" operator="between">
      <formula>0.1251</formula>
      <formula>0.19</formula>
    </cfRule>
  </conditionalFormatting>
  <conditionalFormatting sqref="M8">
    <cfRule type="cellIs" dxfId="925" priority="198" operator="between">
      <formula>0.191</formula>
      <formula>0.24</formula>
    </cfRule>
  </conditionalFormatting>
  <conditionalFormatting sqref="N8">
    <cfRule type="cellIs" dxfId="924" priority="197" operator="between">
      <formula>0.2401</formula>
      <formula>0.26</formula>
    </cfRule>
  </conditionalFormatting>
  <conditionalFormatting sqref="O8">
    <cfRule type="cellIs" dxfId="923" priority="196" operator="greaterThan">
      <formula>0.2601</formula>
    </cfRule>
  </conditionalFormatting>
  <conditionalFormatting sqref="K9">
    <cfRule type="cellIs" dxfId="922" priority="195" stopIfTrue="1" operator="between">
      <formula>0</formula>
      <formula>0.125</formula>
    </cfRule>
  </conditionalFormatting>
  <conditionalFormatting sqref="L9">
    <cfRule type="cellIs" dxfId="921" priority="194" operator="between">
      <formula>0.1251</formula>
      <formula>0.19</formula>
    </cfRule>
  </conditionalFormatting>
  <conditionalFormatting sqref="M9">
    <cfRule type="cellIs" dxfId="920" priority="193" operator="between">
      <formula>0.191</formula>
      <formula>0.24</formula>
    </cfRule>
  </conditionalFormatting>
  <conditionalFormatting sqref="N9">
    <cfRule type="cellIs" dxfId="919" priority="192" operator="between">
      <formula>0.2401</formula>
      <formula>0.26</formula>
    </cfRule>
  </conditionalFormatting>
  <conditionalFormatting sqref="O9">
    <cfRule type="cellIs" dxfId="918" priority="191" operator="greaterThan">
      <formula>0.2601</formula>
    </cfRule>
  </conditionalFormatting>
  <conditionalFormatting sqref="K10">
    <cfRule type="cellIs" dxfId="917" priority="190" stopIfTrue="1" operator="between">
      <formula>0</formula>
      <formula>0.125</formula>
    </cfRule>
  </conditionalFormatting>
  <conditionalFormatting sqref="L10">
    <cfRule type="cellIs" dxfId="916" priority="189" operator="between">
      <formula>0.1251</formula>
      <formula>0.19</formula>
    </cfRule>
  </conditionalFormatting>
  <conditionalFormatting sqref="M10">
    <cfRule type="cellIs" dxfId="915" priority="188" operator="between">
      <formula>0.191</formula>
      <formula>0.24</formula>
    </cfRule>
  </conditionalFormatting>
  <conditionalFormatting sqref="N10">
    <cfRule type="cellIs" dxfId="914" priority="187" operator="between">
      <formula>0.2401</formula>
      <formula>0.26</formula>
    </cfRule>
  </conditionalFormatting>
  <conditionalFormatting sqref="O10">
    <cfRule type="cellIs" dxfId="913" priority="186" operator="greaterThan">
      <formula>0.2601</formula>
    </cfRule>
  </conditionalFormatting>
  <conditionalFormatting sqref="K11">
    <cfRule type="cellIs" dxfId="912" priority="185" stopIfTrue="1" operator="between">
      <formula>0</formula>
      <formula>0.125</formula>
    </cfRule>
  </conditionalFormatting>
  <conditionalFormatting sqref="L11">
    <cfRule type="cellIs" dxfId="911" priority="184" operator="between">
      <formula>0.1251</formula>
      <formula>0.19</formula>
    </cfRule>
  </conditionalFormatting>
  <conditionalFormatting sqref="M11">
    <cfRule type="cellIs" dxfId="910" priority="183" operator="between">
      <formula>0.191</formula>
      <formula>0.24</formula>
    </cfRule>
  </conditionalFormatting>
  <conditionalFormatting sqref="N11">
    <cfRule type="cellIs" dxfId="909" priority="182" operator="between">
      <formula>0.2401</formula>
      <formula>0.26</formula>
    </cfRule>
  </conditionalFormatting>
  <conditionalFormatting sqref="O11">
    <cfRule type="cellIs" dxfId="908" priority="181" operator="greaterThan">
      <formula>0.2601</formula>
    </cfRule>
  </conditionalFormatting>
  <conditionalFormatting sqref="R6">
    <cfRule type="cellIs" dxfId="907" priority="180" stopIfTrue="1" operator="between">
      <formula>0</formula>
      <formula>0.5</formula>
    </cfRule>
  </conditionalFormatting>
  <conditionalFormatting sqref="S6">
    <cfRule type="cellIs" dxfId="906" priority="179" operator="between">
      <formula>0.51</formula>
      <formula>0.75</formula>
    </cfRule>
  </conditionalFormatting>
  <conditionalFormatting sqref="T6">
    <cfRule type="cellIs" dxfId="905" priority="178" operator="between">
      <formula>0.76</formula>
      <formula>0.95</formula>
    </cfRule>
  </conditionalFormatting>
  <conditionalFormatting sqref="U6">
    <cfRule type="cellIs" dxfId="904" priority="177" operator="between">
      <formula>0.95</formula>
      <formula>1</formula>
    </cfRule>
  </conditionalFormatting>
  <conditionalFormatting sqref="V6">
    <cfRule type="cellIs" dxfId="903" priority="176" operator="greaterThan">
      <formula>1</formula>
    </cfRule>
  </conditionalFormatting>
  <conditionalFormatting sqref="R7">
    <cfRule type="cellIs" dxfId="902" priority="175" stopIfTrue="1" operator="between">
      <formula>0</formula>
      <formula>0.5</formula>
    </cfRule>
  </conditionalFormatting>
  <conditionalFormatting sqref="S7">
    <cfRule type="cellIs" dxfId="901" priority="174" operator="between">
      <formula>0.51</formula>
      <formula>0.75</formula>
    </cfRule>
  </conditionalFormatting>
  <conditionalFormatting sqref="T7">
    <cfRule type="cellIs" dxfId="900" priority="173" operator="between">
      <formula>0.76</formula>
      <formula>0.95</formula>
    </cfRule>
  </conditionalFormatting>
  <conditionalFormatting sqref="U7">
    <cfRule type="cellIs" dxfId="899" priority="172" operator="between">
      <formula>0.95</formula>
      <formula>1</formula>
    </cfRule>
  </conditionalFormatting>
  <conditionalFormatting sqref="V7">
    <cfRule type="cellIs" dxfId="898" priority="171" operator="greaterThan">
      <formula>1</formula>
    </cfRule>
  </conditionalFormatting>
  <conditionalFormatting sqref="R8">
    <cfRule type="cellIs" dxfId="897" priority="170" stopIfTrue="1" operator="between">
      <formula>0</formula>
      <formula>0.5</formula>
    </cfRule>
  </conditionalFormatting>
  <conditionalFormatting sqref="S8">
    <cfRule type="cellIs" dxfId="896" priority="169" operator="between">
      <formula>0.51</formula>
      <formula>0.75</formula>
    </cfRule>
  </conditionalFormatting>
  <conditionalFormatting sqref="T8">
    <cfRule type="cellIs" dxfId="895" priority="168" operator="between">
      <formula>0.76</formula>
      <formula>0.95</formula>
    </cfRule>
  </conditionalFormatting>
  <conditionalFormatting sqref="U8">
    <cfRule type="cellIs" dxfId="894" priority="167" operator="between">
      <formula>0.95</formula>
      <formula>1</formula>
    </cfRule>
  </conditionalFormatting>
  <conditionalFormatting sqref="V8">
    <cfRule type="cellIs" dxfId="893" priority="166" operator="greaterThan">
      <formula>1</formula>
    </cfRule>
  </conditionalFormatting>
  <conditionalFormatting sqref="R9">
    <cfRule type="cellIs" dxfId="892" priority="165" stopIfTrue="1" operator="between">
      <formula>0</formula>
      <formula>0.5</formula>
    </cfRule>
  </conditionalFormatting>
  <conditionalFormatting sqref="S9">
    <cfRule type="cellIs" dxfId="891" priority="164" operator="between">
      <formula>0.51</formula>
      <formula>0.75</formula>
    </cfRule>
  </conditionalFormatting>
  <conditionalFormatting sqref="T9">
    <cfRule type="cellIs" dxfId="890" priority="163" operator="between">
      <formula>0.76</formula>
      <formula>0.95</formula>
    </cfRule>
  </conditionalFormatting>
  <conditionalFormatting sqref="U9">
    <cfRule type="cellIs" dxfId="889" priority="162" operator="between">
      <formula>0.95</formula>
      <formula>1</formula>
    </cfRule>
  </conditionalFormatting>
  <conditionalFormatting sqref="V9">
    <cfRule type="cellIs" dxfId="888" priority="161" operator="greaterThan">
      <formula>1</formula>
    </cfRule>
  </conditionalFormatting>
  <conditionalFormatting sqref="R10">
    <cfRule type="cellIs" dxfId="887" priority="160" stopIfTrue="1" operator="between">
      <formula>0</formula>
      <formula>0.5</formula>
    </cfRule>
  </conditionalFormatting>
  <conditionalFormatting sqref="S10">
    <cfRule type="cellIs" dxfId="886" priority="159" operator="between">
      <formula>0.51</formula>
      <formula>0.75</formula>
    </cfRule>
  </conditionalFormatting>
  <conditionalFormatting sqref="T10">
    <cfRule type="cellIs" dxfId="885" priority="158" operator="between">
      <formula>0.76</formula>
      <formula>0.95</formula>
    </cfRule>
  </conditionalFormatting>
  <conditionalFormatting sqref="U10">
    <cfRule type="cellIs" dxfId="884" priority="157" operator="between">
      <formula>0.95</formula>
      <formula>1</formula>
    </cfRule>
  </conditionalFormatting>
  <conditionalFormatting sqref="V10">
    <cfRule type="cellIs" dxfId="883" priority="156" operator="greaterThan">
      <formula>1</formula>
    </cfRule>
  </conditionalFormatting>
  <conditionalFormatting sqref="R11">
    <cfRule type="cellIs" dxfId="882" priority="155" stopIfTrue="1" operator="between">
      <formula>0</formula>
      <formula>0.5</formula>
    </cfRule>
  </conditionalFormatting>
  <conditionalFormatting sqref="S11">
    <cfRule type="cellIs" dxfId="881" priority="154" operator="between">
      <formula>0.51</formula>
      <formula>0.75</formula>
    </cfRule>
  </conditionalFormatting>
  <conditionalFormatting sqref="T11">
    <cfRule type="cellIs" dxfId="880" priority="153" operator="between">
      <formula>0.76</formula>
      <formula>0.95</formula>
    </cfRule>
  </conditionalFormatting>
  <conditionalFormatting sqref="U11">
    <cfRule type="cellIs" dxfId="879" priority="152" operator="between">
      <formula>0.95</formula>
      <formula>1</formula>
    </cfRule>
  </conditionalFormatting>
  <conditionalFormatting sqref="V11">
    <cfRule type="cellIs" dxfId="878" priority="151" operator="greaterThan">
      <formula>1</formula>
    </cfRule>
  </conditionalFormatting>
  <conditionalFormatting sqref="Y6">
    <cfRule type="cellIs" dxfId="877" priority="150" stopIfTrue="1" operator="between">
      <formula>0</formula>
      <formula>0.255</formula>
    </cfRule>
  </conditionalFormatting>
  <conditionalFormatting sqref="Z6">
    <cfRule type="cellIs" dxfId="876" priority="149" operator="between">
      <formula>0.2551</formula>
      <formula>0.375</formula>
    </cfRule>
  </conditionalFormatting>
  <conditionalFormatting sqref="AA6">
    <cfRule type="cellIs" dxfId="875" priority="148" operator="between">
      <formula>0.38</formula>
      <formula>0.475</formula>
    </cfRule>
  </conditionalFormatting>
  <conditionalFormatting sqref="AB6">
    <cfRule type="cellIs" dxfId="874" priority="147" operator="between">
      <formula>0.4751</formula>
      <formula>0.51</formula>
    </cfRule>
  </conditionalFormatting>
  <conditionalFormatting sqref="AC6">
    <cfRule type="cellIs" dxfId="873" priority="146" operator="greaterThan">
      <formula>0.505</formula>
    </cfRule>
  </conditionalFormatting>
  <conditionalFormatting sqref="Y7">
    <cfRule type="cellIs" dxfId="872" priority="145" stopIfTrue="1" operator="between">
      <formula>0</formula>
      <formula>0.255</formula>
    </cfRule>
  </conditionalFormatting>
  <conditionalFormatting sqref="Z7">
    <cfRule type="cellIs" dxfId="871" priority="144" operator="between">
      <formula>0.2551</formula>
      <formula>0.375</formula>
    </cfRule>
  </conditionalFormatting>
  <conditionalFormatting sqref="AA7">
    <cfRule type="cellIs" dxfId="870" priority="143" operator="between">
      <formula>0.38</formula>
      <formula>0.475</formula>
    </cfRule>
  </conditionalFormatting>
  <conditionalFormatting sqref="AB7">
    <cfRule type="cellIs" dxfId="869" priority="142" operator="between">
      <formula>0.48</formula>
      <formula>0.51</formula>
    </cfRule>
  </conditionalFormatting>
  <conditionalFormatting sqref="AC7">
    <cfRule type="cellIs" dxfId="868" priority="141" operator="greaterThan">
      <formula>0.505</formula>
    </cfRule>
  </conditionalFormatting>
  <conditionalFormatting sqref="Y8">
    <cfRule type="cellIs" dxfId="867" priority="140" stopIfTrue="1" operator="between">
      <formula>0</formula>
      <formula>0.255</formula>
    </cfRule>
  </conditionalFormatting>
  <conditionalFormatting sqref="Z8">
    <cfRule type="cellIs" dxfId="866" priority="139" operator="between">
      <formula>0.2551</formula>
      <formula>0.375</formula>
    </cfRule>
  </conditionalFormatting>
  <conditionalFormatting sqref="AA8">
    <cfRule type="cellIs" dxfId="865" priority="138" operator="between">
      <formula>0.38</formula>
      <formula>0.475</formula>
    </cfRule>
  </conditionalFormatting>
  <conditionalFormatting sqref="AB8">
    <cfRule type="cellIs" dxfId="864" priority="137" operator="between">
      <formula>0.48</formula>
      <formula>0.51</formula>
    </cfRule>
  </conditionalFormatting>
  <conditionalFormatting sqref="AC8">
    <cfRule type="cellIs" dxfId="863" priority="136" operator="greaterThan">
      <formula>0.505</formula>
    </cfRule>
  </conditionalFormatting>
  <conditionalFormatting sqref="Y9">
    <cfRule type="cellIs" dxfId="862" priority="135" stopIfTrue="1" operator="between">
      <formula>0</formula>
      <formula>0.255</formula>
    </cfRule>
  </conditionalFormatting>
  <conditionalFormatting sqref="Z9">
    <cfRule type="cellIs" dxfId="861" priority="134" operator="between">
      <formula>0.2551</formula>
      <formula>0.375</formula>
    </cfRule>
  </conditionalFormatting>
  <conditionalFormatting sqref="AA9">
    <cfRule type="cellIs" dxfId="860" priority="133" operator="between">
      <formula>0.38</formula>
      <formula>0.475</formula>
    </cfRule>
  </conditionalFormatting>
  <conditionalFormatting sqref="AB9">
    <cfRule type="cellIs" dxfId="859" priority="132" operator="between">
      <formula>0.48</formula>
      <formula>0.51</formula>
    </cfRule>
  </conditionalFormatting>
  <conditionalFormatting sqref="AC9">
    <cfRule type="cellIs" dxfId="858" priority="131" operator="greaterThan">
      <formula>0.505</formula>
    </cfRule>
  </conditionalFormatting>
  <conditionalFormatting sqref="Y10">
    <cfRule type="cellIs" dxfId="857" priority="130" stopIfTrue="1" operator="between">
      <formula>0</formula>
      <formula>0.255</formula>
    </cfRule>
  </conditionalFormatting>
  <conditionalFormatting sqref="Z10">
    <cfRule type="cellIs" dxfId="856" priority="129" operator="between">
      <formula>0.2551</formula>
      <formula>0.375</formula>
    </cfRule>
  </conditionalFormatting>
  <conditionalFormatting sqref="AA10">
    <cfRule type="cellIs" dxfId="855" priority="128" operator="between">
      <formula>0.38</formula>
      <formula>0.475</formula>
    </cfRule>
  </conditionalFormatting>
  <conditionalFormatting sqref="AB10">
    <cfRule type="cellIs" dxfId="854" priority="127" operator="between">
      <formula>0.48</formula>
      <formula>0.51</formula>
    </cfRule>
  </conditionalFormatting>
  <conditionalFormatting sqref="AC10">
    <cfRule type="cellIs" dxfId="853" priority="126" operator="greaterThan">
      <formula>0.505</formula>
    </cfRule>
  </conditionalFormatting>
  <conditionalFormatting sqref="Y11">
    <cfRule type="cellIs" dxfId="852" priority="125" stopIfTrue="1" operator="between">
      <formula>0</formula>
      <formula>0.255</formula>
    </cfRule>
  </conditionalFormatting>
  <conditionalFormatting sqref="Z11">
    <cfRule type="cellIs" dxfId="851" priority="124" operator="between">
      <formula>0.2551</formula>
      <formula>0.375</formula>
    </cfRule>
  </conditionalFormatting>
  <conditionalFormatting sqref="AA11">
    <cfRule type="cellIs" dxfId="850" priority="123" operator="between">
      <formula>0.38</formula>
      <formula>0.475</formula>
    </cfRule>
  </conditionalFormatting>
  <conditionalFormatting sqref="AB11">
    <cfRule type="cellIs" dxfId="849" priority="122" operator="between">
      <formula>0.48</formula>
      <formula>0.51</formula>
    </cfRule>
  </conditionalFormatting>
  <conditionalFormatting sqref="AC11">
    <cfRule type="cellIs" dxfId="848" priority="121" operator="greaterThan">
      <formula>0.505</formula>
    </cfRule>
  </conditionalFormatting>
  <conditionalFormatting sqref="AF6">
    <cfRule type="cellIs" dxfId="847" priority="120" stopIfTrue="1" operator="between">
      <formula>0</formula>
      <formula>0.5</formula>
    </cfRule>
  </conditionalFormatting>
  <conditionalFormatting sqref="AG6">
    <cfRule type="cellIs" dxfId="846" priority="119" operator="between">
      <formula>0.51</formula>
      <formula>0.75</formula>
    </cfRule>
  </conditionalFormatting>
  <conditionalFormatting sqref="AH6">
    <cfRule type="cellIs" dxfId="845" priority="118" operator="between">
      <formula>0.76</formula>
      <formula>0.95</formula>
    </cfRule>
  </conditionalFormatting>
  <conditionalFormatting sqref="AI6">
    <cfRule type="cellIs" dxfId="844" priority="117" operator="between">
      <formula>0.95</formula>
      <formula>1</formula>
    </cfRule>
  </conditionalFormatting>
  <conditionalFormatting sqref="AJ6">
    <cfRule type="cellIs" dxfId="843" priority="116" operator="greaterThan">
      <formula>1</formula>
    </cfRule>
  </conditionalFormatting>
  <conditionalFormatting sqref="AF7">
    <cfRule type="cellIs" dxfId="842" priority="115" stopIfTrue="1" operator="between">
      <formula>0</formula>
      <formula>0.5</formula>
    </cfRule>
  </conditionalFormatting>
  <conditionalFormatting sqref="AG7">
    <cfRule type="cellIs" dxfId="841" priority="114" operator="between">
      <formula>0.51</formula>
      <formula>0.75</formula>
    </cfRule>
  </conditionalFormatting>
  <conditionalFormatting sqref="AH7">
    <cfRule type="cellIs" dxfId="840" priority="113" operator="between">
      <formula>0.76</formula>
      <formula>0.95</formula>
    </cfRule>
  </conditionalFormatting>
  <conditionalFormatting sqref="AI7">
    <cfRule type="cellIs" dxfId="839" priority="112" operator="between">
      <formula>0.95</formula>
      <formula>1</formula>
    </cfRule>
  </conditionalFormatting>
  <conditionalFormatting sqref="AJ7">
    <cfRule type="cellIs" dxfId="838" priority="111" operator="greaterThan">
      <formula>1</formula>
    </cfRule>
  </conditionalFormatting>
  <conditionalFormatting sqref="AF8">
    <cfRule type="cellIs" dxfId="837" priority="110" stopIfTrue="1" operator="between">
      <formula>0</formula>
      <formula>0.5</formula>
    </cfRule>
  </conditionalFormatting>
  <conditionalFormatting sqref="AG8">
    <cfRule type="cellIs" dxfId="836" priority="109" operator="between">
      <formula>0.51</formula>
      <formula>0.75</formula>
    </cfRule>
  </conditionalFormatting>
  <conditionalFormatting sqref="AH8">
    <cfRule type="cellIs" dxfId="835" priority="108" operator="between">
      <formula>0.76</formula>
      <formula>0.95</formula>
    </cfRule>
  </conditionalFormatting>
  <conditionalFormatting sqref="AI8">
    <cfRule type="cellIs" dxfId="834" priority="107" operator="between">
      <formula>0.95</formula>
      <formula>1</formula>
    </cfRule>
  </conditionalFormatting>
  <conditionalFormatting sqref="AJ8">
    <cfRule type="cellIs" dxfId="833" priority="106" operator="greaterThan">
      <formula>1</formula>
    </cfRule>
  </conditionalFormatting>
  <conditionalFormatting sqref="AF9">
    <cfRule type="cellIs" dxfId="832" priority="105" stopIfTrue="1" operator="between">
      <formula>0</formula>
      <formula>0.5</formula>
    </cfRule>
  </conditionalFormatting>
  <conditionalFormatting sqref="AG9">
    <cfRule type="cellIs" dxfId="831" priority="104" operator="between">
      <formula>0.51</formula>
      <formula>0.75</formula>
    </cfRule>
  </conditionalFormatting>
  <conditionalFormatting sqref="AH9">
    <cfRule type="cellIs" dxfId="830" priority="103" operator="between">
      <formula>0.76</formula>
      <formula>0.95</formula>
    </cfRule>
  </conditionalFormatting>
  <conditionalFormatting sqref="AI9">
    <cfRule type="cellIs" dxfId="829" priority="102" operator="between">
      <formula>0.95</formula>
      <formula>1</formula>
    </cfRule>
  </conditionalFormatting>
  <conditionalFormatting sqref="AJ9">
    <cfRule type="cellIs" dxfId="828" priority="101" operator="greaterThan">
      <formula>1</formula>
    </cfRule>
  </conditionalFormatting>
  <conditionalFormatting sqref="AF10">
    <cfRule type="cellIs" dxfId="827" priority="100" stopIfTrue="1" operator="between">
      <formula>0</formula>
      <formula>0.5</formula>
    </cfRule>
  </conditionalFormatting>
  <conditionalFormatting sqref="AG10">
    <cfRule type="cellIs" dxfId="826" priority="99" operator="between">
      <formula>0.51</formula>
      <formula>0.75</formula>
    </cfRule>
  </conditionalFormatting>
  <conditionalFormatting sqref="AH10">
    <cfRule type="cellIs" dxfId="825" priority="98" operator="between">
      <formula>0.76</formula>
      <formula>0.95</formula>
    </cfRule>
  </conditionalFormatting>
  <conditionalFormatting sqref="AI10">
    <cfRule type="cellIs" dxfId="824" priority="97" operator="between">
      <formula>0.95</formula>
      <formula>1</formula>
    </cfRule>
  </conditionalFormatting>
  <conditionalFormatting sqref="AJ10">
    <cfRule type="cellIs" dxfId="823" priority="96" operator="greaterThan">
      <formula>1</formula>
    </cfRule>
  </conditionalFormatting>
  <conditionalFormatting sqref="AF11">
    <cfRule type="cellIs" dxfId="822" priority="95" stopIfTrue="1" operator="between">
      <formula>0</formula>
      <formula>0.5</formula>
    </cfRule>
  </conditionalFormatting>
  <conditionalFormatting sqref="AG11">
    <cfRule type="cellIs" dxfId="821" priority="94" operator="between">
      <formula>0.51</formula>
      <formula>0.75</formula>
    </cfRule>
  </conditionalFormatting>
  <conditionalFormatting sqref="AH11">
    <cfRule type="cellIs" dxfId="820" priority="93" operator="between">
      <formula>0.76</formula>
      <formula>0.95</formula>
    </cfRule>
  </conditionalFormatting>
  <conditionalFormatting sqref="AI11">
    <cfRule type="cellIs" dxfId="819" priority="92" operator="between">
      <formula>0.95</formula>
      <formula>1</formula>
    </cfRule>
  </conditionalFormatting>
  <conditionalFormatting sqref="AJ11">
    <cfRule type="cellIs" dxfId="818" priority="91" operator="greaterThan">
      <formula>1</formula>
    </cfRule>
  </conditionalFormatting>
  <conditionalFormatting sqref="AM6">
    <cfRule type="cellIs" dxfId="817" priority="90" stopIfTrue="1" operator="between">
      <formula>0</formula>
      <formula>0.375</formula>
    </cfRule>
  </conditionalFormatting>
  <conditionalFormatting sqref="AN6">
    <cfRule type="cellIs" dxfId="816" priority="89" operator="between">
      <formula>0.3751</formula>
      <formula>0.5625</formula>
    </cfRule>
  </conditionalFormatting>
  <conditionalFormatting sqref="AO6">
    <cfRule type="cellIs" dxfId="815" priority="88" operator="between">
      <formula>0.563</formula>
      <formula>0.7125</formula>
    </cfRule>
  </conditionalFormatting>
  <conditionalFormatting sqref="AP6">
    <cfRule type="cellIs" dxfId="814" priority="87" operator="between">
      <formula>0.713</formula>
      <formula>0.75</formula>
    </cfRule>
  </conditionalFormatting>
  <conditionalFormatting sqref="AQ6">
    <cfRule type="cellIs" dxfId="813" priority="86" operator="greaterThan">
      <formula>0.755</formula>
    </cfRule>
  </conditionalFormatting>
  <conditionalFormatting sqref="AM7">
    <cfRule type="cellIs" dxfId="812" priority="85" stopIfTrue="1" operator="between">
      <formula>0</formula>
      <formula>0.375</formula>
    </cfRule>
  </conditionalFormatting>
  <conditionalFormatting sqref="AN7">
    <cfRule type="cellIs" dxfId="811" priority="84" operator="between">
      <formula>0.3751</formula>
      <formula>0.5625</formula>
    </cfRule>
  </conditionalFormatting>
  <conditionalFormatting sqref="AO7">
    <cfRule type="cellIs" dxfId="810" priority="83" operator="between">
      <formula>0.563</formula>
      <formula>0.7125</formula>
    </cfRule>
  </conditionalFormatting>
  <conditionalFormatting sqref="AP7">
    <cfRule type="cellIs" dxfId="809" priority="82" operator="between">
      <formula>0.713</formula>
      <formula>0.75</formula>
    </cfRule>
  </conditionalFormatting>
  <conditionalFormatting sqref="AQ7">
    <cfRule type="cellIs" dxfId="808" priority="81" operator="greaterThan">
      <formula>0.755</formula>
    </cfRule>
  </conditionalFormatting>
  <conditionalFormatting sqref="AM8">
    <cfRule type="cellIs" dxfId="807" priority="80" stopIfTrue="1" operator="between">
      <formula>0</formula>
      <formula>0.375</formula>
    </cfRule>
  </conditionalFormatting>
  <conditionalFormatting sqref="AN8">
    <cfRule type="cellIs" dxfId="806" priority="79" operator="between">
      <formula>0.3751</formula>
      <formula>0.5625</formula>
    </cfRule>
  </conditionalFormatting>
  <conditionalFormatting sqref="AO8">
    <cfRule type="cellIs" dxfId="805" priority="78" operator="between">
      <formula>0.563</formula>
      <formula>0.7125</formula>
    </cfRule>
  </conditionalFormatting>
  <conditionalFormatting sqref="AP8">
    <cfRule type="cellIs" dxfId="804" priority="77" operator="between">
      <formula>0.713</formula>
      <formula>0.75</formula>
    </cfRule>
  </conditionalFormatting>
  <conditionalFormatting sqref="AQ8">
    <cfRule type="cellIs" dxfId="803" priority="76" operator="greaterThan">
      <formula>0.755</formula>
    </cfRule>
  </conditionalFormatting>
  <conditionalFormatting sqref="AM9">
    <cfRule type="cellIs" dxfId="802" priority="75" stopIfTrue="1" operator="between">
      <formula>0</formula>
      <formula>0.375</formula>
    </cfRule>
  </conditionalFormatting>
  <conditionalFormatting sqref="AN9">
    <cfRule type="cellIs" dxfId="801" priority="74" operator="between">
      <formula>0.3751</formula>
      <formula>0.5625</formula>
    </cfRule>
  </conditionalFormatting>
  <conditionalFormatting sqref="AO9">
    <cfRule type="cellIs" dxfId="800" priority="73" operator="between">
      <formula>0.563</formula>
      <formula>0.7125</formula>
    </cfRule>
  </conditionalFormatting>
  <conditionalFormatting sqref="AP9">
    <cfRule type="cellIs" dxfId="799" priority="72" operator="between">
      <formula>0.713</formula>
      <formula>0.75</formula>
    </cfRule>
  </conditionalFormatting>
  <conditionalFormatting sqref="AQ9">
    <cfRule type="cellIs" dxfId="798" priority="71" operator="greaterThan">
      <formula>0.755</formula>
    </cfRule>
  </conditionalFormatting>
  <conditionalFormatting sqref="AM10">
    <cfRule type="cellIs" dxfId="797" priority="70" stopIfTrue="1" operator="between">
      <formula>0</formula>
      <formula>0.375</formula>
    </cfRule>
  </conditionalFormatting>
  <conditionalFormatting sqref="AN10">
    <cfRule type="cellIs" dxfId="796" priority="69" operator="between">
      <formula>0.3751</formula>
      <formula>0.5625</formula>
    </cfRule>
  </conditionalFormatting>
  <conditionalFormatting sqref="AO10">
    <cfRule type="cellIs" dxfId="795" priority="68" operator="between">
      <formula>0.563</formula>
      <formula>0.7125</formula>
    </cfRule>
  </conditionalFormatting>
  <conditionalFormatting sqref="AP10">
    <cfRule type="cellIs" dxfId="794" priority="67" operator="between">
      <formula>0.713</formula>
      <formula>0.75</formula>
    </cfRule>
  </conditionalFormatting>
  <conditionalFormatting sqref="AQ10">
    <cfRule type="cellIs" dxfId="793" priority="66" operator="greaterThan">
      <formula>0.755</formula>
    </cfRule>
  </conditionalFormatting>
  <conditionalFormatting sqref="AM11">
    <cfRule type="cellIs" dxfId="792" priority="65" stopIfTrue="1" operator="between">
      <formula>0</formula>
      <formula>0.375</formula>
    </cfRule>
  </conditionalFormatting>
  <conditionalFormatting sqref="AN11">
    <cfRule type="cellIs" dxfId="791" priority="64" operator="between">
      <formula>0.3751</formula>
      <formula>0.5625</formula>
    </cfRule>
  </conditionalFormatting>
  <conditionalFormatting sqref="AO11">
    <cfRule type="cellIs" dxfId="790" priority="63" operator="between">
      <formula>0.563</formula>
      <formula>0.7125</formula>
    </cfRule>
  </conditionalFormatting>
  <conditionalFormatting sqref="AP11">
    <cfRule type="cellIs" dxfId="789" priority="62" operator="between">
      <formula>0.713</formula>
      <formula>0.75</formula>
    </cfRule>
  </conditionalFormatting>
  <conditionalFormatting sqref="AQ11">
    <cfRule type="cellIs" dxfId="788" priority="61" operator="greaterThan">
      <formula>0.755</formula>
    </cfRule>
  </conditionalFormatting>
  <conditionalFormatting sqref="AT6">
    <cfRule type="cellIs" dxfId="787" priority="60" stopIfTrue="1" operator="between">
      <formula>0</formula>
      <formula>0.5</formula>
    </cfRule>
  </conditionalFormatting>
  <conditionalFormatting sqref="AU6">
    <cfRule type="cellIs" dxfId="786" priority="59" operator="between">
      <formula>0.51</formula>
      <formula>0.75</formula>
    </cfRule>
  </conditionalFormatting>
  <conditionalFormatting sqref="AV6">
    <cfRule type="cellIs" dxfId="785" priority="58" operator="between">
      <formula>0.76</formula>
      <formula>0.95</formula>
    </cfRule>
  </conditionalFormatting>
  <conditionalFormatting sqref="AW6">
    <cfRule type="cellIs" dxfId="784" priority="57" operator="between">
      <formula>0.95</formula>
      <formula>1</formula>
    </cfRule>
  </conditionalFormatting>
  <conditionalFormatting sqref="AX6">
    <cfRule type="cellIs" dxfId="783" priority="56" operator="greaterThan">
      <formula>1</formula>
    </cfRule>
  </conditionalFormatting>
  <conditionalFormatting sqref="AT7">
    <cfRule type="cellIs" dxfId="782" priority="55" stopIfTrue="1" operator="between">
      <formula>0</formula>
      <formula>0.5</formula>
    </cfRule>
  </conditionalFormatting>
  <conditionalFormatting sqref="AU7">
    <cfRule type="cellIs" dxfId="781" priority="54" operator="between">
      <formula>0.51</formula>
      <formula>0.75</formula>
    </cfRule>
  </conditionalFormatting>
  <conditionalFormatting sqref="AV7">
    <cfRule type="cellIs" dxfId="780" priority="53" operator="between">
      <formula>0.76</formula>
      <formula>0.95</formula>
    </cfRule>
  </conditionalFormatting>
  <conditionalFormatting sqref="AW7">
    <cfRule type="cellIs" dxfId="779" priority="52" operator="between">
      <formula>0.95</formula>
      <formula>1</formula>
    </cfRule>
  </conditionalFormatting>
  <conditionalFormatting sqref="AX7">
    <cfRule type="cellIs" dxfId="778" priority="51" operator="greaterThan">
      <formula>1</formula>
    </cfRule>
  </conditionalFormatting>
  <conditionalFormatting sqref="AT8">
    <cfRule type="cellIs" dxfId="777" priority="50" stopIfTrue="1" operator="between">
      <formula>0</formula>
      <formula>0.5</formula>
    </cfRule>
  </conditionalFormatting>
  <conditionalFormatting sqref="AU8">
    <cfRule type="cellIs" dxfId="776" priority="49" operator="between">
      <formula>0.51</formula>
      <formula>0.75</formula>
    </cfRule>
  </conditionalFormatting>
  <conditionalFormatting sqref="AV8">
    <cfRule type="cellIs" dxfId="775" priority="48" operator="between">
      <formula>0.76</formula>
      <formula>0.95</formula>
    </cfRule>
  </conditionalFormatting>
  <conditionalFormatting sqref="AW8">
    <cfRule type="cellIs" dxfId="774" priority="47" operator="between">
      <formula>0.95</formula>
      <formula>1</formula>
    </cfRule>
  </conditionalFormatting>
  <conditionalFormatting sqref="AX8">
    <cfRule type="cellIs" dxfId="773" priority="46" operator="greaterThan">
      <formula>1</formula>
    </cfRule>
  </conditionalFormatting>
  <conditionalFormatting sqref="AT9">
    <cfRule type="cellIs" dxfId="772" priority="45" stopIfTrue="1" operator="between">
      <formula>0</formula>
      <formula>0.5</formula>
    </cfRule>
  </conditionalFormatting>
  <conditionalFormatting sqref="AU9">
    <cfRule type="cellIs" dxfId="771" priority="44" operator="between">
      <formula>0.51</formula>
      <formula>0.75</formula>
    </cfRule>
  </conditionalFormatting>
  <conditionalFormatting sqref="AV9">
    <cfRule type="cellIs" dxfId="770" priority="43" operator="between">
      <formula>0.76</formula>
      <formula>0.95</formula>
    </cfRule>
  </conditionalFormatting>
  <conditionalFormatting sqref="AW9">
    <cfRule type="cellIs" dxfId="769" priority="42" operator="between">
      <formula>0.95</formula>
      <formula>1</formula>
    </cfRule>
  </conditionalFormatting>
  <conditionalFormatting sqref="AX9">
    <cfRule type="cellIs" dxfId="768" priority="41" operator="greaterThan">
      <formula>1</formula>
    </cfRule>
  </conditionalFormatting>
  <conditionalFormatting sqref="AT10">
    <cfRule type="cellIs" dxfId="767" priority="40" stopIfTrue="1" operator="between">
      <formula>0</formula>
      <formula>0.5</formula>
    </cfRule>
  </conditionalFormatting>
  <conditionalFormatting sqref="AU10">
    <cfRule type="cellIs" dxfId="766" priority="39" operator="between">
      <formula>0.51</formula>
      <formula>0.75</formula>
    </cfRule>
  </conditionalFormatting>
  <conditionalFormatting sqref="AV10">
    <cfRule type="cellIs" dxfId="765" priority="38" operator="between">
      <formula>0.76</formula>
      <formula>0.95</formula>
    </cfRule>
  </conditionalFormatting>
  <conditionalFormatting sqref="AW10">
    <cfRule type="cellIs" dxfId="764" priority="37" operator="between">
      <formula>0.95</formula>
      <formula>1</formula>
    </cfRule>
  </conditionalFormatting>
  <conditionalFormatting sqref="AX10">
    <cfRule type="cellIs" dxfId="763" priority="36" operator="greaterThan">
      <formula>1</formula>
    </cfRule>
  </conditionalFormatting>
  <conditionalFormatting sqref="AT11">
    <cfRule type="cellIs" dxfId="762" priority="35" stopIfTrue="1" operator="between">
      <formula>0</formula>
      <formula>0.5</formula>
    </cfRule>
  </conditionalFormatting>
  <conditionalFormatting sqref="AU11">
    <cfRule type="cellIs" dxfId="761" priority="34" operator="between">
      <formula>0.51</formula>
      <formula>0.75</formula>
    </cfRule>
  </conditionalFormatting>
  <conditionalFormatting sqref="AV11">
    <cfRule type="cellIs" dxfId="760" priority="33" operator="between">
      <formula>0.76</formula>
      <formula>0.95</formula>
    </cfRule>
  </conditionalFormatting>
  <conditionalFormatting sqref="AW11">
    <cfRule type="cellIs" dxfId="759" priority="32" operator="between">
      <formula>0.95</formula>
      <formula>1</formula>
    </cfRule>
  </conditionalFormatting>
  <conditionalFormatting sqref="AX11">
    <cfRule type="cellIs" dxfId="758" priority="31" operator="greaterThan">
      <formula>1</formula>
    </cfRule>
  </conditionalFormatting>
  <conditionalFormatting sqref="BA6">
    <cfRule type="cellIs" dxfId="757" priority="30" operator="between">
      <formula>0.501</formula>
      <formula>0.75</formula>
    </cfRule>
  </conditionalFormatting>
  <conditionalFormatting sqref="BB6">
    <cfRule type="cellIs" dxfId="756" priority="29" operator="between">
      <formula>0.76</formula>
      <formula>0.95</formula>
    </cfRule>
  </conditionalFormatting>
  <conditionalFormatting sqref="BC6">
    <cfRule type="cellIs" dxfId="755" priority="28" operator="between">
      <formula>0.95</formula>
      <formula>1</formula>
    </cfRule>
  </conditionalFormatting>
  <conditionalFormatting sqref="BD6">
    <cfRule type="cellIs" dxfId="754" priority="27" operator="greaterThan">
      <formula>1</formula>
    </cfRule>
  </conditionalFormatting>
  <conditionalFormatting sqref="AZ7">
    <cfRule type="cellIs" dxfId="753" priority="26" stopIfTrue="1" operator="between">
      <formula>0</formula>
      <formula>0.5</formula>
    </cfRule>
  </conditionalFormatting>
  <conditionalFormatting sqref="BA7">
    <cfRule type="cellIs" dxfId="752" priority="25" operator="between">
      <formula>0.51</formula>
      <formula>0.75</formula>
    </cfRule>
  </conditionalFormatting>
  <conditionalFormatting sqref="BB7">
    <cfRule type="cellIs" dxfId="751" priority="24" operator="between">
      <formula>0.76</formula>
      <formula>0.95</formula>
    </cfRule>
  </conditionalFormatting>
  <conditionalFormatting sqref="BC7">
    <cfRule type="cellIs" dxfId="750" priority="23" operator="between">
      <formula>0.95</formula>
      <formula>1</formula>
    </cfRule>
  </conditionalFormatting>
  <conditionalFormatting sqref="BD7">
    <cfRule type="cellIs" dxfId="749" priority="22" operator="greaterThan">
      <formula>1</formula>
    </cfRule>
  </conditionalFormatting>
  <conditionalFormatting sqref="AZ8">
    <cfRule type="cellIs" dxfId="748" priority="21" stopIfTrue="1" operator="between">
      <formula>0</formula>
      <formula>0.5</formula>
    </cfRule>
  </conditionalFormatting>
  <conditionalFormatting sqref="BA8">
    <cfRule type="cellIs" dxfId="747" priority="20" operator="between">
      <formula>0.51</formula>
      <formula>0.75</formula>
    </cfRule>
  </conditionalFormatting>
  <conditionalFormatting sqref="BB8">
    <cfRule type="cellIs" dxfId="746" priority="19" operator="between">
      <formula>0.76</formula>
      <formula>0.95</formula>
    </cfRule>
  </conditionalFormatting>
  <conditionalFormatting sqref="BC8">
    <cfRule type="cellIs" dxfId="745" priority="18" operator="between">
      <formula>0.95</formula>
      <formula>1</formula>
    </cfRule>
  </conditionalFormatting>
  <conditionalFormatting sqref="BD8">
    <cfRule type="cellIs" dxfId="744" priority="17" operator="greaterThan">
      <formula>1</formula>
    </cfRule>
  </conditionalFormatting>
  <conditionalFormatting sqref="AZ9">
    <cfRule type="cellIs" dxfId="743" priority="16" stopIfTrue="1" operator="between">
      <formula>0</formula>
      <formula>0.5</formula>
    </cfRule>
  </conditionalFormatting>
  <conditionalFormatting sqref="BA9">
    <cfRule type="cellIs" dxfId="742" priority="15" operator="between">
      <formula>0.51</formula>
      <formula>0.75</formula>
    </cfRule>
  </conditionalFormatting>
  <conditionalFormatting sqref="BB9">
    <cfRule type="cellIs" dxfId="741" priority="14" operator="between">
      <formula>0.76</formula>
      <formula>0.95</formula>
    </cfRule>
  </conditionalFormatting>
  <conditionalFormatting sqref="BC9">
    <cfRule type="cellIs" dxfId="740" priority="13" operator="between">
      <formula>0.95</formula>
      <formula>1</formula>
    </cfRule>
  </conditionalFormatting>
  <conditionalFormatting sqref="BD9">
    <cfRule type="cellIs" dxfId="739" priority="12" operator="greaterThan">
      <formula>1</formula>
    </cfRule>
  </conditionalFormatting>
  <conditionalFormatting sqref="AZ10">
    <cfRule type="cellIs" dxfId="738" priority="11" stopIfTrue="1" operator="between">
      <formula>0</formula>
      <formula>0.5</formula>
    </cfRule>
  </conditionalFormatting>
  <conditionalFormatting sqref="BA10">
    <cfRule type="cellIs" dxfId="737" priority="10" operator="between">
      <formula>0.51</formula>
      <formula>0.75</formula>
    </cfRule>
  </conditionalFormatting>
  <conditionalFormatting sqref="BB10">
    <cfRule type="cellIs" dxfId="736" priority="9" operator="between">
      <formula>0.76</formula>
      <formula>0.95</formula>
    </cfRule>
  </conditionalFormatting>
  <conditionalFormatting sqref="BC10">
    <cfRule type="cellIs" dxfId="735" priority="8" operator="between">
      <formula>0.95</formula>
      <formula>1</formula>
    </cfRule>
  </conditionalFormatting>
  <conditionalFormatting sqref="BD10">
    <cfRule type="cellIs" dxfId="734" priority="7" operator="greaterThan">
      <formula>1</formula>
    </cfRule>
  </conditionalFormatting>
  <conditionalFormatting sqref="AZ11">
    <cfRule type="cellIs" dxfId="733" priority="6" stopIfTrue="1" operator="between">
      <formula>0</formula>
      <formula>0.5</formula>
    </cfRule>
  </conditionalFormatting>
  <conditionalFormatting sqref="BA11">
    <cfRule type="cellIs" dxfId="732" priority="5" operator="between">
      <formula>0.51</formula>
      <formula>0.75</formula>
    </cfRule>
  </conditionalFormatting>
  <conditionalFormatting sqref="BB11">
    <cfRule type="cellIs" dxfId="731" priority="4" operator="between">
      <formula>0.76</formula>
      <formula>0.95</formula>
    </cfRule>
  </conditionalFormatting>
  <conditionalFormatting sqref="BC11">
    <cfRule type="cellIs" dxfId="730" priority="3" operator="between">
      <formula>0.95</formula>
      <formula>1</formula>
    </cfRule>
  </conditionalFormatting>
  <conditionalFormatting sqref="BD11">
    <cfRule type="cellIs" dxfId="729" priority="2" operator="greaterThan">
      <formula>1</formula>
    </cfRule>
  </conditionalFormatting>
  <conditionalFormatting sqref="AZ6">
    <cfRule type="cellIs" dxfId="728" priority="1" stopIfTrue="1" operator="between">
      <formula>0</formula>
      <formula>0.5</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15"/>
  <sheetViews>
    <sheetView showGridLines="0" zoomScale="80" zoomScaleNormal="80" workbookViewId="0">
      <selection activeCell="AA23" sqref="AA23"/>
    </sheetView>
  </sheetViews>
  <sheetFormatPr baseColWidth="10" defaultRowHeight="15" x14ac:dyDescent="0.25"/>
  <cols>
    <col min="1" max="1" width="49"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245"/>
      <c r="B1" s="1230" t="s">
        <v>954</v>
      </c>
      <c r="C1" s="1231"/>
      <c r="D1" s="1231"/>
      <c r="E1" s="1231"/>
      <c r="F1" s="1231"/>
      <c r="G1" s="1231"/>
      <c r="H1" s="1195"/>
      <c r="I1" s="1197" t="s">
        <v>955</v>
      </c>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69"/>
      <c r="AP1" s="1221"/>
      <c r="AQ1" s="1222"/>
      <c r="AR1" s="1222"/>
      <c r="AS1" s="1222"/>
      <c r="AT1" s="1222"/>
      <c r="AU1" s="1222"/>
      <c r="AV1" s="1222"/>
      <c r="AW1" s="1222"/>
      <c r="AX1" s="1222"/>
      <c r="AY1" s="1222"/>
      <c r="AZ1" s="1222"/>
      <c r="BA1" s="1223"/>
    </row>
    <row r="2" spans="1:53" ht="15" customHeight="1" x14ac:dyDescent="0.25">
      <c r="A2" s="1246"/>
      <c r="B2" s="1232" t="s">
        <v>956</v>
      </c>
      <c r="C2" s="1233"/>
      <c r="D2" s="1233"/>
      <c r="E2" s="1233"/>
      <c r="F2" s="1233"/>
      <c r="G2" s="1233"/>
      <c r="H2" s="1200"/>
      <c r="I2" s="1202" t="s">
        <v>800</v>
      </c>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70"/>
      <c r="AP2" s="1224"/>
      <c r="AQ2" s="1225"/>
      <c r="AR2" s="1225"/>
      <c r="AS2" s="1225"/>
      <c r="AT2" s="1225"/>
      <c r="AU2" s="1225"/>
      <c r="AV2" s="1225"/>
      <c r="AW2" s="1225"/>
      <c r="AX2" s="1225"/>
      <c r="AY2" s="1225"/>
      <c r="AZ2" s="1225"/>
      <c r="BA2" s="1226"/>
    </row>
    <row r="3" spans="1:53" ht="15.75" customHeight="1" thickBot="1" x14ac:dyDescent="0.3">
      <c r="A3" s="1247"/>
      <c r="B3" s="1234" t="s">
        <v>852</v>
      </c>
      <c r="C3" s="1210"/>
      <c r="D3" s="1210"/>
      <c r="E3" s="1210"/>
      <c r="F3" s="1210"/>
      <c r="G3" s="1210"/>
      <c r="H3" s="1205"/>
      <c r="I3" s="1207" t="s">
        <v>960</v>
      </c>
      <c r="J3" s="1210"/>
      <c r="K3" s="1210"/>
      <c r="L3" s="1210"/>
      <c r="M3" s="1210"/>
      <c r="N3" s="1205"/>
      <c r="O3" s="1235" t="s">
        <v>823</v>
      </c>
      <c r="P3" s="1236"/>
      <c r="Q3" s="1236"/>
      <c r="R3" s="1236"/>
      <c r="S3" s="1236"/>
      <c r="T3" s="1236"/>
      <c r="U3" s="1236"/>
      <c r="V3" s="1236"/>
      <c r="W3" s="1236"/>
      <c r="X3" s="1236"/>
      <c r="Y3" s="1236"/>
      <c r="Z3" s="1236"/>
      <c r="AA3" s="1236"/>
      <c r="AB3" s="1236"/>
      <c r="AC3" s="1236"/>
      <c r="AD3" s="1236"/>
      <c r="AE3" s="1236"/>
      <c r="AF3" s="1236"/>
      <c r="AG3" s="1236"/>
      <c r="AH3" s="1237"/>
      <c r="AI3" s="447" t="s">
        <v>959</v>
      </c>
      <c r="AJ3" s="1207">
        <v>1</v>
      </c>
      <c r="AK3" s="1210"/>
      <c r="AL3" s="1210"/>
      <c r="AM3" s="1210"/>
      <c r="AN3" s="1210"/>
      <c r="AO3" s="1268"/>
      <c r="AP3" s="1227"/>
      <c r="AQ3" s="1228"/>
      <c r="AR3" s="1228"/>
      <c r="AS3" s="1228"/>
      <c r="AT3" s="1228"/>
      <c r="AU3" s="1228"/>
      <c r="AV3" s="1228"/>
      <c r="AW3" s="1228"/>
      <c r="AX3" s="1228"/>
      <c r="AY3" s="1228"/>
      <c r="AZ3" s="1228"/>
      <c r="BA3" s="1229"/>
    </row>
    <row r="4" spans="1:53" ht="15.75" thickBot="1" x14ac:dyDescent="0.3"/>
    <row r="5" spans="1:53" ht="72.75" customHeight="1" thickBot="1" x14ac:dyDescent="0.3">
      <c r="A5" s="289" t="s">
        <v>832</v>
      </c>
      <c r="B5" s="436"/>
      <c r="C5" s="1241" t="s">
        <v>1110</v>
      </c>
      <c r="D5" s="1248"/>
      <c r="E5" s="1248"/>
      <c r="F5" s="1248"/>
      <c r="G5" s="1248"/>
      <c r="H5" s="1249"/>
      <c r="I5" s="1244" t="s">
        <v>1111</v>
      </c>
      <c r="J5" s="1220"/>
      <c r="K5" s="1220"/>
      <c r="L5" s="1220"/>
      <c r="M5" s="1220"/>
      <c r="N5" s="1220"/>
      <c r="O5" s="177"/>
      <c r="P5" s="1244" t="s">
        <v>1112</v>
      </c>
      <c r="Q5" s="1220"/>
      <c r="R5" s="1220"/>
      <c r="S5" s="1220"/>
      <c r="T5" s="1220"/>
      <c r="U5" s="1267"/>
      <c r="V5" s="1219" t="s">
        <v>1113</v>
      </c>
      <c r="W5" s="1220"/>
      <c r="X5" s="1220"/>
      <c r="Y5" s="1220"/>
      <c r="Z5" s="1220"/>
      <c r="AA5" s="1220"/>
      <c r="AB5" s="598"/>
      <c r="AC5" s="1244" t="s">
        <v>1114</v>
      </c>
      <c r="AD5" s="1220"/>
      <c r="AE5" s="1220"/>
      <c r="AF5" s="1220"/>
      <c r="AG5" s="1220"/>
      <c r="AH5" s="1267"/>
      <c r="AI5" s="1219" t="s">
        <v>1115</v>
      </c>
      <c r="AJ5" s="1220"/>
      <c r="AK5" s="1220"/>
      <c r="AL5" s="1220"/>
      <c r="AM5" s="1220"/>
      <c r="AN5" s="1220"/>
      <c r="AO5" s="598"/>
      <c r="AP5" s="1244" t="s">
        <v>1116</v>
      </c>
      <c r="AQ5" s="1220"/>
      <c r="AR5" s="1220"/>
      <c r="AS5" s="1220"/>
      <c r="AT5" s="1220"/>
      <c r="AU5" s="1267"/>
      <c r="AV5" s="1219" t="s">
        <v>1117</v>
      </c>
      <c r="AW5" s="1220"/>
      <c r="AX5" s="1220"/>
      <c r="AY5" s="1220"/>
      <c r="AZ5" s="1220"/>
      <c r="BA5" s="1220"/>
    </row>
    <row r="6" spans="1:53" ht="18" x14ac:dyDescent="0.25">
      <c r="A6" s="295" t="s">
        <v>3</v>
      </c>
      <c r="B6" s="437"/>
      <c r="C6" s="833">
        <f>SUM('Cuadro Mando Integral Detallado'!I35,'Cuadro Mando Integral Detallado'!I115:I116,'Cuadro Mando Integral Detallado'!I168)/COUNT('Cuadro Mando Integral Detallado'!I35,'Cuadro Mando Integral Detallado'!I115:I116,'Cuadro Mando Integral Detallado'!I168)</f>
        <v>1.4922779922779923</v>
      </c>
      <c r="D6" s="819">
        <f t="shared" ref="D6:D14" si="0">+C6</f>
        <v>1.4922779922779923</v>
      </c>
      <c r="E6" s="795">
        <f t="shared" ref="E6:E14" si="1">+C6</f>
        <v>1.4922779922779923</v>
      </c>
      <c r="F6" s="795">
        <f t="shared" ref="F6:F14" si="2">+C6</f>
        <v>1.4922779922779923</v>
      </c>
      <c r="G6" s="795">
        <f t="shared" ref="G6:G14" si="3">+C6</f>
        <v>1.4922779922779923</v>
      </c>
      <c r="H6" s="580">
        <f t="shared" ref="H6:H14" si="4">+C6</f>
        <v>1.4922779922779923</v>
      </c>
      <c r="I6" s="823">
        <f>SUM('Cuadro Mando Integral Detallado'!K35,'Cuadro Mando Integral Detallado'!K115:K116,'Cuadro Mando Integral Detallado'!K168)/COUNT('Cuadro Mando Integral Detallado'!K35,'Cuadro Mando Integral Detallado'!K115:K116,'Cuadro Mando Integral Detallado'!K168)</f>
        <v>0.40065958815958813</v>
      </c>
      <c r="J6" s="807">
        <f t="shared" ref="J6:J14" si="5">+I6</f>
        <v>0.40065958815958813</v>
      </c>
      <c r="K6" s="808">
        <f t="shared" ref="K6:K14" si="6">+I6</f>
        <v>0.40065958815958813</v>
      </c>
      <c r="L6" s="808">
        <f t="shared" ref="L6:L14" si="7">+I6</f>
        <v>0.40065958815958813</v>
      </c>
      <c r="M6" s="808">
        <f t="shared" ref="M6:M14" si="8">+I6</f>
        <v>0.40065958815958813</v>
      </c>
      <c r="N6" s="590">
        <f t="shared" ref="N6:N14" si="9">+I6</f>
        <v>0.40065958815958813</v>
      </c>
      <c r="O6" s="177"/>
      <c r="P6" s="836">
        <f>SUM('Cuadro Mando Integral Detallado'!P32:P33,'Cuadro Mando Integral Detallado'!P35,'Cuadro Mando Integral Detallado'!P115:P116,'Cuadro Mando Integral Detallado'!P118:P119,'Cuadro Mando Integral Detallado'!P168)/COUNT('Cuadro Mando Integral Detallado'!P32:P33,'Cuadro Mando Integral Detallado'!P35,'Cuadro Mando Integral Detallado'!P115:P116,'Cuadro Mando Integral Detallado'!P118:P119,'Cuadro Mando Integral Detallado'!P168)</f>
        <v>1.1427668086204672</v>
      </c>
      <c r="Q6" s="819">
        <f t="shared" ref="Q6:Q14" si="10">+P6</f>
        <v>1.1427668086204672</v>
      </c>
      <c r="R6" s="795">
        <f t="shared" ref="R6:R14" si="11">+P6</f>
        <v>1.1427668086204672</v>
      </c>
      <c r="S6" s="795">
        <f t="shared" ref="S6:S14" si="12">+P6</f>
        <v>1.1427668086204672</v>
      </c>
      <c r="T6" s="795">
        <f t="shared" ref="T6:T14" si="13">+P6</f>
        <v>1.1427668086204672</v>
      </c>
      <c r="U6" s="580">
        <f t="shared" ref="U6:U14" si="14">+P6</f>
        <v>1.1427668086204672</v>
      </c>
      <c r="V6" s="830">
        <f>SUM('Cuadro Mando Integral Detallado'!R35,'Cuadro Mando Integral Detallado'!R115:R116,'Cuadro Mando Integral Detallado'!R118:R119,'Cuadro Mando Integral Detallado'!R168)/COUNT('Cuadro Mando Integral Detallado'!R35,'Cuadro Mando Integral Detallado'!R115:R116,'Cuadro Mando Integral Detallado'!R118:R119,'Cuadro Mando Integral Detallado'!R168)</f>
        <v>0.47589784906858074</v>
      </c>
      <c r="W6" s="807">
        <f t="shared" ref="W6:W14" si="15">+V6</f>
        <v>0.47589784906858074</v>
      </c>
      <c r="X6" s="808">
        <f t="shared" ref="X6:X14" si="16">+V6</f>
        <v>0.47589784906858074</v>
      </c>
      <c r="Y6" s="808">
        <f t="shared" ref="Y6:Y14" si="17">+V6</f>
        <v>0.47589784906858074</v>
      </c>
      <c r="Z6" s="808">
        <f t="shared" ref="Z6:Z14" si="18">+V6</f>
        <v>0.47589784906858074</v>
      </c>
      <c r="AA6" s="590">
        <f t="shared" ref="AA6:AA13" si="19">+V6</f>
        <v>0.47589784906858074</v>
      </c>
      <c r="AB6" s="588"/>
      <c r="AC6" s="836">
        <f>SUM('Cuadro Mando Integral Detallado'!W32:W33,'Cuadro Mando Integral Detallado'!W35,'Cuadro Mando Integral Detallado'!W115:W116,'Cuadro Mando Integral Detallado'!W118:W119,'Cuadro Mando Integral Detallado'!W168)/COUNT('Cuadro Mando Integral Detallado'!W32:W33,'Cuadro Mando Integral Detallado'!W35,'Cuadro Mando Integral Detallado'!W115:W116,'Cuadro Mando Integral Detallado'!W118:W119,'Cuadro Mando Integral Detallado'!W168)</f>
        <v>0</v>
      </c>
      <c r="AD6" s="819">
        <f t="shared" ref="AD6:AD14" si="20">+AC6</f>
        <v>0</v>
      </c>
      <c r="AE6" s="795">
        <f t="shared" ref="AE6:AE14" si="21">+AC6</f>
        <v>0</v>
      </c>
      <c r="AF6" s="795">
        <f t="shared" ref="AF6:AF14" si="22">+AC6</f>
        <v>0</v>
      </c>
      <c r="AG6" s="795">
        <f t="shared" ref="AG6:AG14" si="23">+AC6</f>
        <v>0</v>
      </c>
      <c r="AH6" s="580">
        <f t="shared" ref="AH6:AH14" si="24">+AC6</f>
        <v>0</v>
      </c>
      <c r="AI6" s="832">
        <f>SUM('Cuadro Mando Integral Detallado'!Y32:Y33,'Cuadro Mando Integral Detallado'!Y35,'Cuadro Mando Integral Detallado'!Y115:Y116,'Cuadro Mando Integral Detallado'!Y118:Y119,'Cuadro Mando Integral Detallado'!Y168)/COUNT('Cuadro Mando Integral Detallado'!Y32:Y33,'Cuadro Mando Integral Detallado'!Y35,'Cuadro Mando Integral Detallado'!Y115:Y116,'Cuadro Mando Integral Detallado'!Y118:Y119,'Cuadro Mando Integral Detallado'!Y168)</f>
        <v>0.35692338680143554</v>
      </c>
      <c r="AJ6" s="819">
        <f t="shared" ref="AJ6:AJ13" si="25">+AI6</f>
        <v>0.35692338680143554</v>
      </c>
      <c r="AK6" s="808">
        <f t="shared" ref="AK6:AK14" si="26">+AI6</f>
        <v>0.35692338680143554</v>
      </c>
      <c r="AL6" s="808">
        <f t="shared" ref="AL6:AL14" si="27">+AI6</f>
        <v>0.35692338680143554</v>
      </c>
      <c r="AM6" s="808">
        <f t="shared" ref="AM6:AM14" si="28">+AI6</f>
        <v>0.35692338680143554</v>
      </c>
      <c r="AN6" s="590">
        <f t="shared" ref="AN6:AN14" si="29">+AI6</f>
        <v>0.35692338680143554</v>
      </c>
      <c r="AO6" s="588"/>
      <c r="AP6" s="836">
        <f>SUM('Cuadro Mando Integral Detallado'!AD32:AD33,'Cuadro Mando Integral Detallado'!AD35,'Cuadro Mando Integral Detallado'!AD115:AD116,'Cuadro Mando Integral Detallado'!AD118:AD119,'Cuadro Mando Integral Detallado'!AD168)/COUNT('Cuadro Mando Integral Detallado'!AD32:AD33,'Cuadro Mando Integral Detallado'!AD35,'Cuadro Mando Integral Detallado'!AD115:AD116,'Cuadro Mando Integral Detallado'!AD118:AD119,'Cuadro Mando Integral Detallado'!AD168)</f>
        <v>0</v>
      </c>
      <c r="AQ6" s="819">
        <f t="shared" ref="AQ6:AQ14" si="30">+AP6</f>
        <v>0</v>
      </c>
      <c r="AR6" s="795">
        <f t="shared" ref="AR6:AR14" si="31">+AP6</f>
        <v>0</v>
      </c>
      <c r="AS6" s="795">
        <f t="shared" ref="AS6:AS14" si="32">+AP6</f>
        <v>0</v>
      </c>
      <c r="AT6" s="795">
        <f t="shared" ref="AT6:AT14" si="33">+AP6</f>
        <v>0</v>
      </c>
      <c r="AU6" s="580">
        <f t="shared" ref="AU6:AU14" si="34">+AP6</f>
        <v>0</v>
      </c>
      <c r="AV6" s="832">
        <f>SUM('Cuadro Mando Integral Detallado'!AF32:AF33,'Cuadro Mando Integral Detallado'!AF35,'Cuadro Mando Integral Detallado'!AF115:AF116,'Cuadro Mando Integral Detallado'!AF118:AF119,'Cuadro Mando Integral Detallado'!AF168)/COUNT('Cuadro Mando Integral Detallado'!AF32:AF33,'Cuadro Mando Integral Detallado'!AF35,'Cuadro Mando Integral Detallado'!AF115:AF116,'Cuadro Mando Integral Detallado'!AF118:AF119,'Cuadro Mando Integral Detallado'!AF168)</f>
        <v>0.35692338680143554</v>
      </c>
      <c r="AW6" s="819">
        <f>+AV6</f>
        <v>0.35692338680143554</v>
      </c>
      <c r="AX6" s="808">
        <f t="shared" ref="AX6:AX14" si="35">+AV6</f>
        <v>0.35692338680143554</v>
      </c>
      <c r="AY6" s="808">
        <f t="shared" ref="AY6:AY14" si="36">+AV6</f>
        <v>0.35692338680143554</v>
      </c>
      <c r="AZ6" s="808">
        <f t="shared" ref="AZ6:AZ14" si="37">+AV6</f>
        <v>0.35692338680143554</v>
      </c>
      <c r="BA6" s="590">
        <f t="shared" ref="BA6:BA14" si="38">+AV6</f>
        <v>0.35692338680143554</v>
      </c>
    </row>
    <row r="7" spans="1:53" ht="36" x14ac:dyDescent="0.25">
      <c r="A7" s="292" t="s">
        <v>829</v>
      </c>
      <c r="B7" s="437"/>
      <c r="C7" s="834">
        <f>SUM('Cuadro Mando Integral Detallado'!I38:I64,'Cuadro Mando Integral Detallado'!I147:I154,'Cuadro Mando Integral Detallado'!I169,'Cuadro Mando Integral Detallado'!I179:I180)/COUNT('Cuadro Mando Integral Detallado'!I38:I64,'Cuadro Mando Integral Detallado'!I147:I154,'Cuadro Mando Integral Detallado'!I169,'Cuadro Mando Integral Detallado'!I179:I180)</f>
        <v>1.0468874307771985</v>
      </c>
      <c r="D7" s="820">
        <f t="shared" si="0"/>
        <v>1.0468874307771985</v>
      </c>
      <c r="E7" s="794">
        <f t="shared" si="1"/>
        <v>1.0468874307771985</v>
      </c>
      <c r="F7" s="794">
        <f t="shared" si="2"/>
        <v>1.0468874307771985</v>
      </c>
      <c r="G7" s="794">
        <f t="shared" si="3"/>
        <v>1.0468874307771985</v>
      </c>
      <c r="H7" s="581">
        <f t="shared" si="4"/>
        <v>1.0468874307771985</v>
      </c>
      <c r="I7" s="824">
        <f>SUM('Cuadro Mando Integral Detallado'!K38:K64,'Cuadro Mando Integral Detallado'!K147:K154,'Cuadro Mando Integral Detallado'!K169,'Cuadro Mando Integral Detallado'!K179:K180)/COUNT('Cuadro Mando Integral Detallado'!K38:K64,'Cuadro Mando Integral Detallado'!K147:K154,'Cuadro Mando Integral Detallado'!K169,'Cuadro Mando Integral Detallado'!K179:K180)</f>
        <v>0.18134769075164414</v>
      </c>
      <c r="J7" s="809">
        <f t="shared" si="5"/>
        <v>0.18134769075164414</v>
      </c>
      <c r="K7" s="806">
        <f t="shared" si="6"/>
        <v>0.18134769075164414</v>
      </c>
      <c r="L7" s="806">
        <f t="shared" si="7"/>
        <v>0.18134769075164414</v>
      </c>
      <c r="M7" s="806">
        <f t="shared" si="8"/>
        <v>0.18134769075164414</v>
      </c>
      <c r="N7" s="591">
        <f t="shared" si="9"/>
        <v>0.18134769075164414</v>
      </c>
      <c r="O7" s="163"/>
      <c r="P7" s="596">
        <f>SUM('Cuadro Mando Integral Detallado'!P34,'Cuadro Mando Integral Detallado'!P38:P64,'Cuadro Mando Integral Detallado'!P120,'Cuadro Mando Integral Detallado'!P147:P154,'Cuadro Mando Integral Detallado'!P169,'Cuadro Mando Integral Detallado'!P179:P180)/COUNT('Cuadro Mando Integral Detallado'!P34,'Cuadro Mando Integral Detallado'!P38:P64,'Cuadro Mando Integral Detallado'!P120,'Cuadro Mando Integral Detallado'!P147:P154,'Cuadro Mando Integral Detallado'!P169,'Cuadro Mando Integral Detallado'!P179:P180)</f>
        <v>0.77330614133895104</v>
      </c>
      <c r="Q7" s="820">
        <f t="shared" si="10"/>
        <v>0.77330614133895104</v>
      </c>
      <c r="R7" s="794">
        <f t="shared" si="11"/>
        <v>0.77330614133895104</v>
      </c>
      <c r="S7" s="794">
        <f t="shared" si="12"/>
        <v>0.77330614133895104</v>
      </c>
      <c r="T7" s="794">
        <f t="shared" si="13"/>
        <v>0.77330614133895104</v>
      </c>
      <c r="U7" s="581">
        <f t="shared" si="14"/>
        <v>0.77330614133895104</v>
      </c>
      <c r="V7" s="843">
        <f>SUM('Cuadro Mando Integral Detallado'!R34,'Cuadro Mando Integral Detallado'!R38:R64,'Cuadro Mando Integral Detallado'!R120,'Cuadro Mando Integral Detallado'!R147:R154,'Cuadro Mando Integral Detallado'!R169,'Cuadro Mando Integral Detallado'!R179:R180)/COUNT('Cuadro Mando Integral Detallado'!R34,'Cuadro Mando Integral Detallado'!R38:R64,'Cuadro Mando Integral Detallado'!R120,'Cuadro Mando Integral Detallado'!R147:R154,'Cuadro Mando Integral Detallado'!R169,'Cuadro Mando Integral Detallado'!R179:R180)</f>
        <v>0.35747855054082595</v>
      </c>
      <c r="W7" s="809">
        <f t="shared" si="15"/>
        <v>0.35747855054082595</v>
      </c>
      <c r="X7" s="806">
        <f t="shared" si="16"/>
        <v>0.35747855054082595</v>
      </c>
      <c r="Y7" s="806">
        <f t="shared" si="17"/>
        <v>0.35747855054082595</v>
      </c>
      <c r="Z7" s="806">
        <f t="shared" si="18"/>
        <v>0.35747855054082595</v>
      </c>
      <c r="AA7" s="591">
        <f t="shared" si="19"/>
        <v>0.35747855054082595</v>
      </c>
      <c r="AB7" s="588"/>
      <c r="AC7" s="596">
        <f>SUM('Cuadro Mando Integral Detallado'!W34,'Cuadro Mando Integral Detallado'!W38:W64,'Cuadro Mando Integral Detallado'!W120,'Cuadro Mando Integral Detallado'!W147:W154,'Cuadro Mando Integral Detallado'!W169,'Cuadro Mando Integral Detallado'!W179:W180)/COUNT('Cuadro Mando Integral Detallado'!W34,'Cuadro Mando Integral Detallado'!W38:W64,'Cuadro Mando Integral Detallado'!W120,'Cuadro Mando Integral Detallado'!W147:W154,'Cuadro Mando Integral Detallado'!W169,'Cuadro Mando Integral Detallado'!W179:W180)</f>
        <v>0</v>
      </c>
      <c r="AD7" s="820">
        <f t="shared" si="20"/>
        <v>0</v>
      </c>
      <c r="AE7" s="794">
        <f t="shared" si="21"/>
        <v>0</v>
      </c>
      <c r="AF7" s="794">
        <f t="shared" si="22"/>
        <v>0</v>
      </c>
      <c r="AG7" s="794">
        <f t="shared" si="23"/>
        <v>0</v>
      </c>
      <c r="AH7" s="581">
        <f t="shared" si="24"/>
        <v>0</v>
      </c>
      <c r="AI7" s="824">
        <f>SUM('Cuadro Mando Integral Detallado'!Y34,'Cuadro Mando Integral Detallado'!Y38:Y64,'Cuadro Mando Integral Detallado'!Y120,'Cuadro Mando Integral Detallado'!Y147:Y154,'Cuadro Mando Integral Detallado'!Y169,'Cuadro Mando Integral Detallado'!Y179:Y180)/COUNT('Cuadro Mando Integral Detallado'!Y34,'Cuadro Mando Integral Detallado'!Y38:Y64,'Cuadro Mando Integral Detallado'!Y120,'Cuadro Mando Integral Detallado'!Y147:Y154,'Cuadro Mando Integral Detallado'!Y169,'Cuadro Mando Integral Detallado'!Y179:Y180)</f>
        <v>0.35983568725500537</v>
      </c>
      <c r="AJ7" s="820">
        <f t="shared" si="25"/>
        <v>0.35983568725500537</v>
      </c>
      <c r="AK7" s="806">
        <f t="shared" si="26"/>
        <v>0.35983568725500537</v>
      </c>
      <c r="AL7" s="806">
        <f t="shared" si="27"/>
        <v>0.35983568725500537</v>
      </c>
      <c r="AM7" s="806">
        <f t="shared" si="28"/>
        <v>0.35983568725500537</v>
      </c>
      <c r="AN7" s="591">
        <f t="shared" si="29"/>
        <v>0.35983568725500537</v>
      </c>
      <c r="AO7" s="588"/>
      <c r="AP7" s="596">
        <f>SUM('Cuadro Mando Integral Detallado'!AD34,'Cuadro Mando Integral Detallado'!AD38:AD64,'Cuadro Mando Integral Detallado'!AD120,'Cuadro Mando Integral Detallado'!AD147:AD154,'Cuadro Mando Integral Detallado'!AD169,'Cuadro Mando Integral Detallado'!AD179:AD180)/COUNT('Cuadro Mando Integral Detallado'!AD34,'Cuadro Mando Integral Detallado'!AD38:AD64,'Cuadro Mando Integral Detallado'!AD120,'Cuadro Mando Integral Detallado'!AD147:AD154,'Cuadro Mando Integral Detallado'!AD169,'Cuadro Mando Integral Detallado'!AD179:AD180)</f>
        <v>0</v>
      </c>
      <c r="AQ7" s="820">
        <f t="shared" si="30"/>
        <v>0</v>
      </c>
      <c r="AR7" s="794">
        <f t="shared" si="31"/>
        <v>0</v>
      </c>
      <c r="AS7" s="794">
        <f t="shared" si="32"/>
        <v>0</v>
      </c>
      <c r="AT7" s="794">
        <f t="shared" si="33"/>
        <v>0</v>
      </c>
      <c r="AU7" s="581">
        <f t="shared" si="34"/>
        <v>0</v>
      </c>
      <c r="AV7" s="824">
        <f>SUM('Cuadro Mando Integral Detallado'!AF34,'Cuadro Mando Integral Detallado'!AF38:AF64,'Cuadro Mando Integral Detallado'!AF147:AF154,'Cuadro Mando Integral Detallado'!AF169,'Cuadro Mando Integral Detallado'!AF179:AF180)/COUNT('Cuadro Mando Integral Detallado'!AF34,'Cuadro Mando Integral Detallado'!AF38:AF64,'Cuadro Mando Integral Detallado'!AF147:AF154,'Cuadro Mando Integral Detallado'!AF169,'Cuadro Mando Integral Detallado'!AF179:AF180)</f>
        <v>0.36664466722135997</v>
      </c>
      <c r="AW7" s="820">
        <f t="shared" ref="AW7:AW14" si="39">+AV7</f>
        <v>0.36664466722135997</v>
      </c>
      <c r="AX7" s="806">
        <f t="shared" si="35"/>
        <v>0.36664466722135997</v>
      </c>
      <c r="AY7" s="806">
        <f t="shared" si="36"/>
        <v>0.36664466722135997</v>
      </c>
      <c r="AZ7" s="806">
        <f t="shared" si="37"/>
        <v>0.36664466722135997</v>
      </c>
      <c r="BA7" s="591">
        <f t="shared" si="38"/>
        <v>0.36664466722135997</v>
      </c>
    </row>
    <row r="8" spans="1:53" ht="36" x14ac:dyDescent="0.25">
      <c r="A8" s="292" t="s">
        <v>26</v>
      </c>
      <c r="B8" s="437"/>
      <c r="C8" s="834">
        <f>SUM('Cuadro Mando Integral Detallado'!I99:I103,'Cuadro Mando Integral Detallado'!I124:I138,'Cuadro Mando Integral Detallado'!I170,'Cuadro Mando Integral Detallado'!I181:I182,'Cuadro Mando Integral Detallado'!I204)/COUNT('Cuadro Mando Integral Detallado'!I99:I103,'Cuadro Mando Integral Detallado'!I124:I138,'Cuadro Mando Integral Detallado'!I170,'Cuadro Mando Integral Detallado'!I181:I182,'Cuadro Mando Integral Detallado'!I204)</f>
        <v>0.92205083136151123</v>
      </c>
      <c r="D8" s="820">
        <f>+C8</f>
        <v>0.92205083136151123</v>
      </c>
      <c r="E8" s="794">
        <f t="shared" si="1"/>
        <v>0.92205083136151123</v>
      </c>
      <c r="F8" s="794">
        <f t="shared" si="2"/>
        <v>0.92205083136151123</v>
      </c>
      <c r="G8" s="794">
        <f t="shared" si="3"/>
        <v>0.92205083136151123</v>
      </c>
      <c r="H8" s="581">
        <f t="shared" si="4"/>
        <v>0.92205083136151123</v>
      </c>
      <c r="I8" s="824">
        <f>SUM('Cuadro Mando Integral Detallado'!K99:K103,'Cuadro Mando Integral Detallado'!K124:K138,'Cuadro Mando Integral Detallado'!K170,'Cuadro Mando Integral Detallado'!K181:K182,'Cuadro Mando Integral Detallado'!K204)/COUNT('Cuadro Mando Integral Detallado'!K99:K103,'Cuadro Mando Integral Detallado'!K124:K138,'Cuadro Mando Integral Detallado'!K170,'Cuadro Mando Integral Detallado'!K181:K182,'Cuadro Mando Integral Detallado'!K204)</f>
        <v>0.25399886060960852</v>
      </c>
      <c r="J8" s="809">
        <f t="shared" si="5"/>
        <v>0.25399886060960852</v>
      </c>
      <c r="K8" s="806">
        <f t="shared" si="6"/>
        <v>0.25399886060960852</v>
      </c>
      <c r="L8" s="806">
        <f t="shared" si="7"/>
        <v>0.25399886060960852</v>
      </c>
      <c r="M8" s="806">
        <f t="shared" si="8"/>
        <v>0.25399886060960852</v>
      </c>
      <c r="N8" s="591">
        <f t="shared" si="9"/>
        <v>0.25399886060960852</v>
      </c>
      <c r="O8" s="163"/>
      <c r="P8" s="596">
        <f>SUM('Cuadro Mando Integral Detallado'!P99:P103,'Cuadro Mando Integral Detallado'!P124:P138,'Cuadro Mando Integral Detallado'!P170,'Cuadro Mando Integral Detallado'!P181:P182,'Cuadro Mando Integral Detallado'!P204)/COUNT('Cuadro Mando Integral Detallado'!P99:P103,'Cuadro Mando Integral Detallado'!P124:P138,'Cuadro Mando Integral Detallado'!P170,'Cuadro Mando Integral Detallado'!P181:P182,'Cuadro Mando Integral Detallado'!P204)</f>
        <v>1.1326154565965376</v>
      </c>
      <c r="Q8" s="820">
        <f t="shared" si="10"/>
        <v>1.1326154565965376</v>
      </c>
      <c r="R8" s="794">
        <f t="shared" si="11"/>
        <v>1.1326154565965376</v>
      </c>
      <c r="S8" s="794">
        <f t="shared" si="12"/>
        <v>1.1326154565965376</v>
      </c>
      <c r="T8" s="794">
        <f t="shared" si="13"/>
        <v>1.1326154565965376</v>
      </c>
      <c r="U8" s="581">
        <f t="shared" si="14"/>
        <v>1.1326154565965376</v>
      </c>
      <c r="V8" s="824">
        <f>SUM('Cuadro Mando Integral Detallado'!R99:R103,'Cuadro Mando Integral Detallado'!R124:R138,'Cuadro Mando Integral Detallado'!R170,'Cuadro Mando Integral Detallado'!R181:R182,'Cuadro Mando Integral Detallado'!R204)/COUNT('Cuadro Mando Integral Detallado'!R99:R103,'Cuadro Mando Integral Detallado'!R124:R138,'Cuadro Mando Integral Detallado'!R170,'Cuadro Mando Integral Detallado'!R181:R182,'Cuadro Mando Integral Detallado'!R204)</f>
        <v>0.54277252478793236</v>
      </c>
      <c r="W8" s="809">
        <f t="shared" si="15"/>
        <v>0.54277252478793236</v>
      </c>
      <c r="X8" s="806">
        <f t="shared" si="16"/>
        <v>0.54277252478793236</v>
      </c>
      <c r="Y8" s="806">
        <f t="shared" si="17"/>
        <v>0.54277252478793236</v>
      </c>
      <c r="Z8" s="806">
        <f t="shared" si="18"/>
        <v>0.54277252478793236</v>
      </c>
      <c r="AA8" s="591">
        <f t="shared" si="19"/>
        <v>0.54277252478793236</v>
      </c>
      <c r="AB8" s="844"/>
      <c r="AC8" s="596">
        <f>SUM('Cuadro Mando Integral Detallado'!W99:W102,'Cuadro Mando Integral Detallado'!W124:W138,'Cuadro Mando Integral Detallado'!W170,'Cuadro Mando Integral Detallado'!W181:W182,'Cuadro Mando Integral Detallado'!W204)/COUNT('Cuadro Mando Integral Detallado'!W99:W102,'Cuadro Mando Integral Detallado'!W124:W138,'Cuadro Mando Integral Detallado'!W170,'Cuadro Mando Integral Detallado'!W181:W182,'Cuadro Mando Integral Detallado'!W204)</f>
        <v>0</v>
      </c>
      <c r="AD8" s="820">
        <f t="shared" si="20"/>
        <v>0</v>
      </c>
      <c r="AE8" s="794">
        <f t="shared" si="21"/>
        <v>0</v>
      </c>
      <c r="AF8" s="794">
        <f t="shared" si="22"/>
        <v>0</v>
      </c>
      <c r="AG8" s="794">
        <f t="shared" si="23"/>
        <v>0</v>
      </c>
      <c r="AH8" s="581">
        <f t="shared" si="24"/>
        <v>0</v>
      </c>
      <c r="AI8" s="824">
        <f>SUM('Cuadro Mando Integral Detallado'!Y99:Y102,'Cuadro Mando Integral Detallado'!Y124:Y138,'Cuadro Mando Integral Detallado'!Y170,'Cuadro Mando Integral Detallado'!Y181:Y182,'Cuadro Mando Integral Detallado'!Y204)/COUNT('Cuadro Mando Integral Detallado'!Y99:Y102,'Cuadro Mando Integral Detallado'!Y124:Y138,'Cuadro Mando Integral Detallado'!Y170,'Cuadro Mando Integral Detallado'!Y181:Y182,'Cuadro Mando Integral Detallado'!Y204)</f>
        <v>0.54773778984082389</v>
      </c>
      <c r="AJ8" s="820">
        <f t="shared" si="25"/>
        <v>0.54773778984082389</v>
      </c>
      <c r="AK8" s="806">
        <f t="shared" si="26"/>
        <v>0.54773778984082389</v>
      </c>
      <c r="AL8" s="806">
        <f t="shared" si="27"/>
        <v>0.54773778984082389</v>
      </c>
      <c r="AM8" s="806">
        <f t="shared" si="28"/>
        <v>0.54773778984082389</v>
      </c>
      <c r="AN8" s="591">
        <f t="shared" si="29"/>
        <v>0.54773778984082389</v>
      </c>
      <c r="AO8" s="588"/>
      <c r="AP8" s="596">
        <f>SUM('Cuadro Mando Integral Detallado'!AD99:AD102,'Cuadro Mando Integral Detallado'!AD124:AD138,'Cuadro Mando Integral Detallado'!AD170,'Cuadro Mando Integral Detallado'!AD181:AD182,'Cuadro Mando Integral Detallado'!AD204)/COUNT('Cuadro Mando Integral Detallado'!AD99:AD102,'Cuadro Mando Integral Detallado'!AD124:AD138,'Cuadro Mando Integral Detallado'!AD170,'Cuadro Mando Integral Detallado'!AD181:AD182,'Cuadro Mando Integral Detallado'!AD204)</f>
        <v>0</v>
      </c>
      <c r="AQ8" s="820">
        <f t="shared" si="30"/>
        <v>0</v>
      </c>
      <c r="AR8" s="794">
        <f t="shared" si="31"/>
        <v>0</v>
      </c>
      <c r="AS8" s="794">
        <f t="shared" si="32"/>
        <v>0</v>
      </c>
      <c r="AT8" s="794">
        <f t="shared" si="33"/>
        <v>0</v>
      </c>
      <c r="AU8" s="581">
        <f t="shared" si="34"/>
        <v>0</v>
      </c>
      <c r="AV8" s="824">
        <f>SUM('Cuadro Mando Integral Detallado'!AF99:AF102,'Cuadro Mando Integral Detallado'!AF124:AF138,'Cuadro Mando Integral Detallado'!AF170,'Cuadro Mando Integral Detallado'!AF181:AF182,'Cuadro Mando Integral Detallado'!AF204)/COUNT('Cuadro Mando Integral Detallado'!AF99:AF102,'Cuadro Mando Integral Detallado'!AF124:AF138,'Cuadro Mando Integral Detallado'!AF170,'Cuadro Mando Integral Detallado'!AF181:AF182,'Cuadro Mando Integral Detallado'!AF204)</f>
        <v>0.54773778984082389</v>
      </c>
      <c r="AW8" s="820">
        <f t="shared" si="39"/>
        <v>0.54773778984082389</v>
      </c>
      <c r="AX8" s="806">
        <f t="shared" si="35"/>
        <v>0.54773778984082389</v>
      </c>
      <c r="AY8" s="806">
        <f t="shared" si="36"/>
        <v>0.54773778984082389</v>
      </c>
      <c r="AZ8" s="806">
        <f t="shared" si="37"/>
        <v>0.54773778984082389</v>
      </c>
      <c r="BA8" s="591">
        <f t="shared" si="38"/>
        <v>0.54773778984082389</v>
      </c>
    </row>
    <row r="9" spans="1:53" ht="18" x14ac:dyDescent="0.25">
      <c r="A9" s="292" t="s">
        <v>625</v>
      </c>
      <c r="B9" s="437"/>
      <c r="C9" s="834">
        <f>SUM('Cuadro Mando Integral Detallado'!I97,'Cuadro Mando Integral Detallado'!I104:I105,'Cuadro Mando Integral Detallado'!I139:I145,'Cuadro Mando Integral Detallado'!I171,'Cuadro Mando Integral Detallado'!I183:I184,'Cuadro Mando Integral Detallado'!I205,'Cuadro Mando Integral Detallado'!I211)/COUNT('Cuadro Mando Integral Detallado'!I97,'Cuadro Mando Integral Detallado'!I104:I105,'Cuadro Mando Integral Detallado'!I139:I145,'Cuadro Mando Integral Detallado'!I171,'Cuadro Mando Integral Detallado'!I183:I184,'Cuadro Mando Integral Detallado'!I205,'Cuadro Mando Integral Detallado'!I211)</f>
        <v>1.1544481998262486</v>
      </c>
      <c r="D9" s="820">
        <f t="shared" si="0"/>
        <v>1.1544481998262486</v>
      </c>
      <c r="E9" s="794">
        <f t="shared" si="1"/>
        <v>1.1544481998262486</v>
      </c>
      <c r="F9" s="794">
        <f t="shared" si="2"/>
        <v>1.1544481998262486</v>
      </c>
      <c r="G9" s="794">
        <f t="shared" si="3"/>
        <v>1.1544481998262486</v>
      </c>
      <c r="H9" s="581">
        <f t="shared" si="4"/>
        <v>1.1544481998262486</v>
      </c>
      <c r="I9" s="824">
        <f>SUM('Cuadro Mando Integral Detallado'!K97,'Cuadro Mando Integral Detallado'!K104,'Cuadro Mando Integral Detallado'!K139:K145,'Cuadro Mando Integral Detallado'!K171,'Cuadro Mando Integral Detallado'!K183:K184,'Cuadro Mando Integral Detallado'!K205,'Cuadro Mando Integral Detallado'!K211)/COUNT('Cuadro Mando Integral Detallado'!K97,'Cuadro Mando Integral Detallado'!K104,'Cuadro Mando Integral Detallado'!K139:K145,'Cuadro Mando Integral Detallado'!K171,'Cuadro Mando Integral Detallado'!K183:K184,'Cuadro Mando Integral Detallado'!K205,'Cuadro Mando Integral Detallado'!K211)</f>
        <v>0.24738175710562468</v>
      </c>
      <c r="J9" s="809">
        <f t="shared" si="5"/>
        <v>0.24738175710562468</v>
      </c>
      <c r="K9" s="806">
        <f t="shared" si="6"/>
        <v>0.24738175710562468</v>
      </c>
      <c r="L9" s="806">
        <f t="shared" si="7"/>
        <v>0.24738175710562468</v>
      </c>
      <c r="M9" s="806">
        <f t="shared" si="8"/>
        <v>0.24738175710562468</v>
      </c>
      <c r="N9" s="591">
        <f t="shared" si="9"/>
        <v>0.24738175710562468</v>
      </c>
      <c r="O9" s="163"/>
      <c r="P9" s="596">
        <f>SUM('Cuadro Mando Integral Detallado'!P97,'Cuadro Mando Integral Detallado'!P104:P105,'Cuadro Mando Integral Detallado'!P139:P145,'Cuadro Mando Integral Detallado'!P171,'Cuadro Mando Integral Detallado'!P183:P184,'Cuadro Mando Integral Detallado'!P205,'Cuadro Mando Integral Detallado'!P211)/COUNT('Cuadro Mando Integral Detallado'!P97,'Cuadro Mando Integral Detallado'!P104:P105,'Cuadro Mando Integral Detallado'!P139:P145,'Cuadro Mando Integral Detallado'!P171,'Cuadro Mando Integral Detallado'!P183:P184,'Cuadro Mando Integral Detallado'!P205,'Cuadro Mando Integral Detallado'!P211)</f>
        <v>0.9306892486291799</v>
      </c>
      <c r="Q9" s="820">
        <f t="shared" si="10"/>
        <v>0.9306892486291799</v>
      </c>
      <c r="R9" s="794">
        <f t="shared" si="11"/>
        <v>0.9306892486291799</v>
      </c>
      <c r="S9" s="794">
        <f t="shared" si="12"/>
        <v>0.9306892486291799</v>
      </c>
      <c r="T9" s="794">
        <f t="shared" si="13"/>
        <v>0.9306892486291799</v>
      </c>
      <c r="U9" s="581">
        <f t="shared" si="14"/>
        <v>0.9306892486291799</v>
      </c>
      <c r="V9" s="824">
        <f>SUM('Cuadro Mando Integral Detallado'!R97,'Cuadro Mando Integral Detallado'!R104:R105,'Cuadro Mando Integral Detallado'!R139:R145,'Cuadro Mando Integral Detallado'!R171,'Cuadro Mando Integral Detallado'!R183:R184,'Cuadro Mando Integral Detallado'!R205,'Cuadro Mando Integral Detallado'!R211)/COUNT('Cuadro Mando Integral Detallado'!R97,'Cuadro Mando Integral Detallado'!R104:R105,'Cuadro Mando Integral Detallado'!R139:R145,'Cuadro Mando Integral Detallado'!R171,'Cuadro Mando Integral Detallado'!R183:R184,'Cuadro Mando Integral Detallado'!R205,'Cuadro Mando Integral Detallado'!R211)</f>
        <v>0.41998428421855988</v>
      </c>
      <c r="W9" s="809">
        <f t="shared" si="15"/>
        <v>0.41998428421855988</v>
      </c>
      <c r="X9" s="806">
        <f t="shared" si="16"/>
        <v>0.41998428421855988</v>
      </c>
      <c r="Y9" s="806">
        <f t="shared" si="17"/>
        <v>0.41998428421855988</v>
      </c>
      <c r="Z9" s="806">
        <f t="shared" si="18"/>
        <v>0.41998428421855988</v>
      </c>
      <c r="AA9" s="591">
        <f t="shared" si="19"/>
        <v>0.41998428421855988</v>
      </c>
      <c r="AB9" s="588"/>
      <c r="AC9" s="596">
        <f>SUM('Cuadro Mando Integral Detallado'!W97,'Cuadro Mando Integral Detallado'!W104:W105,'Cuadro Mando Integral Detallado'!W139:W145,'Cuadro Mando Integral Detallado'!W171,'Cuadro Mando Integral Detallado'!W183:W184,'Cuadro Mando Integral Detallado'!W205,'Cuadro Mando Integral Detallado'!W211)/COUNT('Cuadro Mando Integral Detallado'!W97,'Cuadro Mando Integral Detallado'!W104:W105,'Cuadro Mando Integral Detallado'!W139:W145,'Cuadro Mando Integral Detallado'!W171,'Cuadro Mando Integral Detallado'!W183:W184,'Cuadro Mando Integral Detallado'!W205,'Cuadro Mando Integral Detallado'!W211)</f>
        <v>0</v>
      </c>
      <c r="AD9" s="820">
        <f t="shared" si="20"/>
        <v>0</v>
      </c>
      <c r="AE9" s="794">
        <f t="shared" si="21"/>
        <v>0</v>
      </c>
      <c r="AF9" s="794">
        <f t="shared" si="22"/>
        <v>0</v>
      </c>
      <c r="AG9" s="794">
        <f t="shared" si="23"/>
        <v>0</v>
      </c>
      <c r="AH9" s="581">
        <f t="shared" si="24"/>
        <v>0</v>
      </c>
      <c r="AI9" s="824">
        <f>SUM('Cuadro Mando Integral Detallado'!Y97,'Cuadro Mando Integral Detallado'!Y104:Y105,'Cuadro Mando Integral Detallado'!Y139:Y145,'Cuadro Mando Integral Detallado'!Y171,'Cuadro Mando Integral Detallado'!Y183:Y184,'Cuadro Mando Integral Detallado'!Y205,'Cuadro Mando Integral Detallado'!Y211)/COUNT('Cuadro Mando Integral Detallado'!Y97,'Cuadro Mando Integral Detallado'!Y104:Y105,'Cuadro Mando Integral Detallado'!Y139:Y145,'Cuadro Mando Integral Detallado'!Y171,'Cuadro Mando Integral Detallado'!Y183:Y184,'Cuadro Mando Integral Detallado'!Y205,'Cuadro Mando Integral Detallado'!Y211)</f>
        <v>0.41998428421855988</v>
      </c>
      <c r="AJ9" s="820">
        <f t="shared" si="25"/>
        <v>0.41998428421855988</v>
      </c>
      <c r="AK9" s="806">
        <f t="shared" si="26"/>
        <v>0.41998428421855988</v>
      </c>
      <c r="AL9" s="806">
        <f t="shared" si="27"/>
        <v>0.41998428421855988</v>
      </c>
      <c r="AM9" s="806">
        <f t="shared" si="28"/>
        <v>0.41998428421855988</v>
      </c>
      <c r="AN9" s="591">
        <f t="shared" si="29"/>
        <v>0.41998428421855988</v>
      </c>
      <c r="AO9" s="588"/>
      <c r="AP9" s="596">
        <f>SUM('Cuadro Mando Integral Detallado'!AD97,'Cuadro Mando Integral Detallado'!AD104:AD105,'Cuadro Mando Integral Detallado'!AD139:AD145,'Cuadro Mando Integral Detallado'!AD171,'Cuadro Mando Integral Detallado'!AD183:AD184,'Cuadro Mando Integral Detallado'!AD205,'Cuadro Mando Integral Detallado'!AD211)/COUNT('Cuadro Mando Integral Detallado'!AD97,'Cuadro Mando Integral Detallado'!AD104:AD105,'Cuadro Mando Integral Detallado'!AD139:AD145,'Cuadro Mando Integral Detallado'!AD171,'Cuadro Mando Integral Detallado'!AD183:AD184,'Cuadro Mando Integral Detallado'!AD205,'Cuadro Mando Integral Detallado'!AD211)</f>
        <v>0</v>
      </c>
      <c r="AQ9" s="820">
        <f t="shared" si="30"/>
        <v>0</v>
      </c>
      <c r="AR9" s="794">
        <f t="shared" si="31"/>
        <v>0</v>
      </c>
      <c r="AS9" s="794">
        <f t="shared" si="32"/>
        <v>0</v>
      </c>
      <c r="AT9" s="794">
        <f t="shared" si="33"/>
        <v>0</v>
      </c>
      <c r="AU9" s="581">
        <f t="shared" si="34"/>
        <v>0</v>
      </c>
      <c r="AV9" s="824">
        <f>SUM('Cuadro Mando Integral Detallado'!AF97,'Cuadro Mando Integral Detallado'!AF104:AF105,'Cuadro Mando Integral Detallado'!AF139:AF145,'Cuadro Mando Integral Detallado'!AF171,'Cuadro Mando Integral Detallado'!AF183:AF184,'Cuadro Mando Integral Detallado'!AF205,'Cuadro Mando Integral Detallado'!AF211)/COUNT('Cuadro Mando Integral Detallado'!AF97,'Cuadro Mando Integral Detallado'!AF104:AF105,'Cuadro Mando Integral Detallado'!AF139:AF145,'Cuadro Mando Integral Detallado'!AF171,'Cuadro Mando Integral Detallado'!AF183:AF184,'Cuadro Mando Integral Detallado'!AF205,'Cuadro Mando Integral Detallado'!AF211)</f>
        <v>0.41998428421855988</v>
      </c>
      <c r="AW9" s="820">
        <f t="shared" si="39"/>
        <v>0.41998428421855988</v>
      </c>
      <c r="AX9" s="806">
        <f t="shared" si="35"/>
        <v>0.41998428421855988</v>
      </c>
      <c r="AY9" s="806">
        <f t="shared" si="36"/>
        <v>0.41998428421855988</v>
      </c>
      <c r="AZ9" s="806">
        <f t="shared" si="37"/>
        <v>0.41998428421855988</v>
      </c>
      <c r="BA9" s="591">
        <f t="shared" si="38"/>
        <v>0.41998428421855988</v>
      </c>
    </row>
    <row r="10" spans="1:53" ht="54" x14ac:dyDescent="0.25">
      <c r="A10" s="292" t="s">
        <v>830</v>
      </c>
      <c r="B10" s="437"/>
      <c r="C10" s="834">
        <f>SUM('Cuadro Mando Integral Detallado'!I66:I76,'Cuadro Mando Integral Detallado'!I172,'Cuadro Mando Integral Detallado'!I185:I186,'Cuadro Mando Integral Detallado'!I207:I209)/COUNT('Cuadro Mando Integral Detallado'!I66:I76,'Cuadro Mando Integral Detallado'!I172,'Cuadro Mando Integral Detallado'!I185:I186,'Cuadro Mando Integral Detallado'!I207:I209)</f>
        <v>0.80562980680661667</v>
      </c>
      <c r="D10" s="820">
        <f t="shared" si="0"/>
        <v>0.80562980680661667</v>
      </c>
      <c r="E10" s="794">
        <f t="shared" si="1"/>
        <v>0.80562980680661667</v>
      </c>
      <c r="F10" s="794">
        <f t="shared" si="2"/>
        <v>0.80562980680661667</v>
      </c>
      <c r="G10" s="794">
        <f t="shared" si="3"/>
        <v>0.80562980680661667</v>
      </c>
      <c r="H10" s="581">
        <f t="shared" si="4"/>
        <v>0.80562980680661667</v>
      </c>
      <c r="I10" s="824">
        <f>SUM('Cuadro Mando Integral Detallado'!K66:K76,'Cuadro Mando Integral Detallado'!K172,'Cuadro Mando Integral Detallado'!K185:K186,'Cuadro Mando Integral Detallado'!K207:K209)/COUNT('Cuadro Mando Integral Detallado'!K66:K76,'Cuadro Mando Integral Detallado'!K172,'Cuadro Mando Integral Detallado'!K185:K186,'Cuadro Mando Integral Detallado'!K207:K209)</f>
        <v>9.446236933932603E-2</v>
      </c>
      <c r="J10" s="809">
        <f t="shared" si="5"/>
        <v>9.446236933932603E-2</v>
      </c>
      <c r="K10" s="806">
        <f t="shared" si="6"/>
        <v>9.446236933932603E-2</v>
      </c>
      <c r="L10" s="806">
        <f t="shared" si="7"/>
        <v>9.446236933932603E-2</v>
      </c>
      <c r="M10" s="806">
        <f t="shared" si="8"/>
        <v>9.446236933932603E-2</v>
      </c>
      <c r="N10" s="591">
        <f t="shared" si="9"/>
        <v>9.446236933932603E-2</v>
      </c>
      <c r="O10" s="163"/>
      <c r="P10" s="596">
        <f>SUM('Cuadro Mando Integral Detallado'!P66:P76,'Cuadro Mando Integral Detallado'!P172,'Cuadro Mando Integral Detallado'!P185:P186,'Cuadro Mando Integral Detallado'!P207:P209)/COUNT('Cuadro Mando Integral Detallado'!P66:P76,'Cuadro Mando Integral Detallado'!P172,'Cuadro Mando Integral Detallado'!P185:P186,'Cuadro Mando Integral Detallado'!P207:P209)</f>
        <v>0.76734580910236694</v>
      </c>
      <c r="Q10" s="820">
        <f t="shared" si="10"/>
        <v>0.76734580910236694</v>
      </c>
      <c r="R10" s="794">
        <f t="shared" si="11"/>
        <v>0.76734580910236694</v>
      </c>
      <c r="S10" s="794">
        <f t="shared" si="12"/>
        <v>0.76734580910236694</v>
      </c>
      <c r="T10" s="794">
        <f t="shared" si="13"/>
        <v>0.76734580910236694</v>
      </c>
      <c r="U10" s="581">
        <f t="shared" si="14"/>
        <v>0.76734580910236694</v>
      </c>
      <c r="V10" s="824">
        <f>SUM('Cuadro Mando Integral Detallado'!R66:R76,'Cuadro Mando Integral Detallado'!R172,'Cuadro Mando Integral Detallado'!R185:R186,'Cuadro Mando Integral Detallado'!R207:R209)/COUNT('Cuadro Mando Integral Detallado'!R66:R76,'Cuadro Mando Integral Detallado'!R172,'Cuadro Mando Integral Detallado'!R185:R186,'Cuadro Mando Integral Detallado'!R207:R209)</f>
        <v>0.24659400089658573</v>
      </c>
      <c r="W10" s="809">
        <f t="shared" si="15"/>
        <v>0.24659400089658573</v>
      </c>
      <c r="X10" s="806">
        <f t="shared" si="16"/>
        <v>0.24659400089658573</v>
      </c>
      <c r="Y10" s="806">
        <f t="shared" si="17"/>
        <v>0.24659400089658573</v>
      </c>
      <c r="Z10" s="806">
        <f t="shared" si="18"/>
        <v>0.24659400089658573</v>
      </c>
      <c r="AA10" s="591">
        <f t="shared" si="19"/>
        <v>0.24659400089658573</v>
      </c>
      <c r="AB10" s="588"/>
      <c r="AC10" s="596">
        <f>SUM('Cuadro Mando Integral Detallado'!W66:W76,'Cuadro Mando Integral Detallado'!W172,'Cuadro Mando Integral Detallado'!W185:W186,'Cuadro Mando Integral Detallado'!W207:W209)/COUNT('Cuadro Mando Integral Detallado'!W66:W76,'Cuadro Mando Integral Detallado'!W172,'Cuadro Mando Integral Detallado'!W185:W186,'Cuadro Mando Integral Detallado'!W207:W209)</f>
        <v>0</v>
      </c>
      <c r="AD10" s="820">
        <f t="shared" si="20"/>
        <v>0</v>
      </c>
      <c r="AE10" s="794">
        <f t="shared" si="21"/>
        <v>0</v>
      </c>
      <c r="AF10" s="794">
        <f t="shared" si="22"/>
        <v>0</v>
      </c>
      <c r="AG10" s="794">
        <f t="shared" si="23"/>
        <v>0</v>
      </c>
      <c r="AH10" s="581">
        <f t="shared" si="24"/>
        <v>0</v>
      </c>
      <c r="AI10" s="824">
        <f>SUM('Cuadro Mando Integral Detallado'!Y66:Y76,'Cuadro Mando Integral Detallado'!Y172,'Cuadro Mando Integral Detallado'!Y185:Y186,'Cuadro Mando Integral Detallado'!Y207:Y209)/COUNT('Cuadro Mando Integral Detallado'!Y66:Y76,'Cuadro Mando Integral Detallado'!Y172,'Cuadro Mando Integral Detallado'!Y185:Y186,'Cuadro Mando Integral Detallado'!Y207:Y209)</f>
        <v>0.24659400089658573</v>
      </c>
      <c r="AJ10" s="820">
        <f t="shared" si="25"/>
        <v>0.24659400089658573</v>
      </c>
      <c r="AK10" s="806">
        <f t="shared" si="26"/>
        <v>0.24659400089658573</v>
      </c>
      <c r="AL10" s="806">
        <f t="shared" si="27"/>
        <v>0.24659400089658573</v>
      </c>
      <c r="AM10" s="806">
        <f t="shared" si="28"/>
        <v>0.24659400089658573</v>
      </c>
      <c r="AN10" s="591">
        <f t="shared" si="29"/>
        <v>0.24659400089658573</v>
      </c>
      <c r="AO10" s="588"/>
      <c r="AP10" s="596">
        <f>SUM('Cuadro Mando Integral Detallado'!AD66:AD76,'Cuadro Mando Integral Detallado'!AD172,'Cuadro Mando Integral Detallado'!AD185:AD186,'Cuadro Mando Integral Detallado'!AD207:AD209)/COUNT('Cuadro Mando Integral Detallado'!AD66:AD76,'Cuadro Mando Integral Detallado'!AD172,'Cuadro Mando Integral Detallado'!AD185:AD186,'Cuadro Mando Integral Detallado'!AD207:AD209)</f>
        <v>0</v>
      </c>
      <c r="AQ10" s="820">
        <f t="shared" si="30"/>
        <v>0</v>
      </c>
      <c r="AR10" s="794">
        <f t="shared" si="31"/>
        <v>0</v>
      </c>
      <c r="AS10" s="794">
        <f t="shared" si="32"/>
        <v>0</v>
      </c>
      <c r="AT10" s="794">
        <f t="shared" si="33"/>
        <v>0</v>
      </c>
      <c r="AU10" s="581">
        <f t="shared" si="34"/>
        <v>0</v>
      </c>
      <c r="AV10" s="824">
        <f>SUM('Cuadro Mando Integral Detallado'!AF66:AF76,'Cuadro Mando Integral Detallado'!AF172,'Cuadro Mando Integral Detallado'!AF185:AF186,'Cuadro Mando Integral Detallado'!AF207:AF209)/COUNT('Cuadro Mando Integral Detallado'!AF66:AF76,'Cuadro Mando Integral Detallado'!AF172,'Cuadro Mando Integral Detallado'!AF185:AF186,'Cuadro Mando Integral Detallado'!AF207:AF209)</f>
        <v>0.24659400089658573</v>
      </c>
      <c r="AW10" s="820">
        <f t="shared" si="39"/>
        <v>0.24659400089658573</v>
      </c>
      <c r="AX10" s="806">
        <f t="shared" si="35"/>
        <v>0.24659400089658573</v>
      </c>
      <c r="AY10" s="806">
        <f t="shared" si="36"/>
        <v>0.24659400089658573</v>
      </c>
      <c r="AZ10" s="806">
        <f t="shared" si="37"/>
        <v>0.24659400089658573</v>
      </c>
      <c r="BA10" s="591">
        <f t="shared" si="38"/>
        <v>0.24659400089658573</v>
      </c>
    </row>
    <row r="11" spans="1:53" ht="36" x14ac:dyDescent="0.25">
      <c r="A11" s="296" t="s">
        <v>29</v>
      </c>
      <c r="B11" s="437"/>
      <c r="C11" s="834">
        <f>SUM('Cuadro Mando Integral Detallado'!I15,'Cuadro Mando Integral Detallado'!I18:I31,'Cuadro Mando Integral Detallado'!I108:I114,'Cuadro Mando Integral Detallado'!I187:I195,'Cuadro Mando Integral Detallado'!I220:I221)/COUNT('Cuadro Mando Integral Detallado'!I15,'Cuadro Mando Integral Detallado'!I18:I31,'Cuadro Mando Integral Detallado'!I108:I114,'Cuadro Mando Integral Detallado'!I187:I195,'Cuadro Mando Integral Detallado'!I220:I221)</f>
        <v>0.78691707314013859</v>
      </c>
      <c r="D11" s="820">
        <f t="shared" si="0"/>
        <v>0.78691707314013859</v>
      </c>
      <c r="E11" s="794">
        <f t="shared" si="1"/>
        <v>0.78691707314013859</v>
      </c>
      <c r="F11" s="794">
        <f t="shared" si="2"/>
        <v>0.78691707314013859</v>
      </c>
      <c r="G11" s="794">
        <f t="shared" si="3"/>
        <v>0.78691707314013859</v>
      </c>
      <c r="H11" s="581">
        <f t="shared" si="4"/>
        <v>0.78691707314013859</v>
      </c>
      <c r="I11" s="824">
        <f>SUM('Cuadro Mando Integral Detallado'!K18:K31,'Cuadro Mando Integral Detallado'!K15:K17,'Cuadro Mando Integral Detallado'!K108:K114,'Cuadro Mando Integral Detallado'!K187:K195,'Cuadro Mando Integral Detallado'!K220:K221)/COUNT('Cuadro Mando Integral Detallado'!K18:K31,'Cuadro Mando Integral Detallado'!K15:K17,'Cuadro Mando Integral Detallado'!K108:K114,'Cuadro Mando Integral Detallado'!K187:K195,'Cuadro Mando Integral Detallado'!K220:K221)</f>
        <v>0.1985575581715657</v>
      </c>
      <c r="J11" s="809">
        <f>+I11</f>
        <v>0.1985575581715657</v>
      </c>
      <c r="K11" s="806">
        <f t="shared" si="6"/>
        <v>0.1985575581715657</v>
      </c>
      <c r="L11" s="806">
        <f t="shared" si="7"/>
        <v>0.1985575581715657</v>
      </c>
      <c r="M11" s="806">
        <f t="shared" si="8"/>
        <v>0.1985575581715657</v>
      </c>
      <c r="N11" s="591">
        <f t="shared" si="9"/>
        <v>0.1985575581715657</v>
      </c>
      <c r="O11" s="163"/>
      <c r="P11" s="596">
        <f>SUM('Cuadro Mando Integral Detallado'!P15, 'Cuadro Mando Integral Detallado'!P18:P31,'Cuadro Mando Integral Detallado'!P108:P111,'Cuadro Mando Integral Detallado'!P113:P114,'Cuadro Mando Integral Detallado'!P187:P195,'Cuadro Mando Integral Detallado'!P220:P221)/COUNT('Cuadro Mando Integral Detallado'!P15, 'Cuadro Mando Integral Detallado'!P18:P31,'Cuadro Mando Integral Detallado'!P108:P111,'Cuadro Mando Integral Detallado'!P113:P114,'Cuadro Mando Integral Detallado'!P187:P195,'Cuadro Mando Integral Detallado'!P220:P221)</f>
        <v>0.81755394215902311</v>
      </c>
      <c r="Q11" s="820">
        <f t="shared" si="10"/>
        <v>0.81755394215902311</v>
      </c>
      <c r="R11" s="794">
        <f t="shared" si="11"/>
        <v>0.81755394215902311</v>
      </c>
      <c r="S11" s="794">
        <f t="shared" si="12"/>
        <v>0.81755394215902311</v>
      </c>
      <c r="T11" s="794">
        <f t="shared" si="13"/>
        <v>0.81755394215902311</v>
      </c>
      <c r="U11" s="581">
        <f t="shared" si="14"/>
        <v>0.81755394215902311</v>
      </c>
      <c r="V11" s="824">
        <f>SUM('Cuadro Mando Integral Detallado'!R15,'Cuadro Mando Integral Detallado'!R18:R31,'Cuadro Mando Integral Detallado'!R108:R111,'Cuadro Mando Integral Detallado'!R113:R114,'Cuadro Mando Integral Detallado'!R187:R195,'Cuadro Mando Integral Detallado'!R220:R221)/COUNT('Cuadro Mando Integral Detallado'!R15, 'Cuadro Mando Integral Detallado'!R18:R31,'Cuadro Mando Integral Detallado'!R108:R111,'Cuadro Mando Integral Detallado'!R113:R114,'Cuadro Mando Integral Detallado'!R187:R195,'Cuadro Mando Integral Detallado'!R220:R221)</f>
        <v>0.40798706797163203</v>
      </c>
      <c r="W11" s="809">
        <f t="shared" si="15"/>
        <v>0.40798706797163203</v>
      </c>
      <c r="X11" s="806">
        <f t="shared" si="16"/>
        <v>0.40798706797163203</v>
      </c>
      <c r="Y11" s="806">
        <f t="shared" si="17"/>
        <v>0.40798706797163203</v>
      </c>
      <c r="Z11" s="806">
        <f t="shared" si="18"/>
        <v>0.40798706797163203</v>
      </c>
      <c r="AA11" s="591">
        <f t="shared" si="19"/>
        <v>0.40798706797163203</v>
      </c>
      <c r="AB11" s="588"/>
      <c r="AC11" s="596">
        <f>SUM('Cuadro Mando Integral Detallado'!W15,'Cuadro Mando Integral Detallado'!W18:W31,'Cuadro Mando Integral Detallado'!W108:W111,'Cuadro Mando Integral Detallado'!W113:W114,'Cuadro Mando Integral Detallado'!W187:W195,'Cuadro Mando Integral Detallado'!W220:W221)/COUNT('Cuadro Mando Integral Detallado'!W15,'Cuadro Mando Integral Detallado'!W18:W31,'Cuadro Mando Integral Detallado'!W108:W111,'Cuadro Mando Integral Detallado'!W113:W114,'Cuadro Mando Integral Detallado'!W187:W195,'Cuadro Mando Integral Detallado'!W220:W221)</f>
        <v>0</v>
      </c>
      <c r="AD11" s="820">
        <f t="shared" si="20"/>
        <v>0</v>
      </c>
      <c r="AE11" s="794">
        <f t="shared" si="21"/>
        <v>0</v>
      </c>
      <c r="AF11" s="794">
        <f t="shared" si="22"/>
        <v>0</v>
      </c>
      <c r="AG11" s="794">
        <f t="shared" si="23"/>
        <v>0</v>
      </c>
      <c r="AH11" s="581">
        <f t="shared" si="24"/>
        <v>0</v>
      </c>
      <c r="AI11" s="824">
        <f>SUM('Cuadro Mando Integral Detallado'!Y15,'Cuadro Mando Integral Detallado'!Y18:Y31,'Cuadro Mando Integral Detallado'!Y108:Y111,'Cuadro Mando Integral Detallado'!Y113:Y114,'Cuadro Mando Integral Detallado'!Y187:Y195,'Cuadro Mando Integral Detallado'!Y220:Y221)/COUNT('Cuadro Mando Integral Detallado'!Y15,'Cuadro Mando Integral Detallado'!Y18:Y31,'Cuadro Mando Integral Detallado'!Y108:Y111,'Cuadro Mando Integral Detallado'!Y113:Y114,'Cuadro Mando Integral Detallado'!Y187:Y195,'Cuadro Mando Integral Detallado'!Y220:Y221)</f>
        <v>0.40798706797163203</v>
      </c>
      <c r="AJ11" s="820">
        <f t="shared" si="25"/>
        <v>0.40798706797163203</v>
      </c>
      <c r="AK11" s="806">
        <f t="shared" si="26"/>
        <v>0.40798706797163203</v>
      </c>
      <c r="AL11" s="806">
        <f t="shared" si="27"/>
        <v>0.40798706797163203</v>
      </c>
      <c r="AM11" s="806">
        <f t="shared" si="28"/>
        <v>0.40798706797163203</v>
      </c>
      <c r="AN11" s="591">
        <f t="shared" si="29"/>
        <v>0.40798706797163203</v>
      </c>
      <c r="AO11" s="588"/>
      <c r="AP11" s="596">
        <f>SUM('Cuadro Mando Integral Detallado'!AD15,'Cuadro Mando Integral Detallado'!AD18:AD31,'Cuadro Mando Integral Detallado'!AD108:AD111,'Cuadro Mando Integral Detallado'!AD113:AD114,'Cuadro Mando Integral Detallado'!AD187:AD195,'Cuadro Mando Integral Detallado'!AD220:AD221)/COUNT('Cuadro Mando Integral Detallado'!AD15,'Cuadro Mando Integral Detallado'!AD18:AD31,'Cuadro Mando Integral Detallado'!AD108:AD111,'Cuadro Mando Integral Detallado'!AD113:AD114,'Cuadro Mando Integral Detallado'!AD187:AD195,'Cuadro Mando Integral Detallado'!AD220:AD221)</f>
        <v>0</v>
      </c>
      <c r="AQ11" s="820">
        <f t="shared" si="30"/>
        <v>0</v>
      </c>
      <c r="AR11" s="794">
        <f t="shared" si="31"/>
        <v>0</v>
      </c>
      <c r="AS11" s="794">
        <f t="shared" si="32"/>
        <v>0</v>
      </c>
      <c r="AT11" s="794">
        <f t="shared" si="33"/>
        <v>0</v>
      </c>
      <c r="AU11" s="581">
        <f t="shared" si="34"/>
        <v>0</v>
      </c>
      <c r="AV11" s="824">
        <f>SUM('Cuadro Mando Integral Detallado'!AF15,'Cuadro Mando Integral Detallado'!AF18:AF31,'Cuadro Mando Integral Detallado'!AF108:AF111,'Cuadro Mando Integral Detallado'!AF113:AF114,'Cuadro Mando Integral Detallado'!AF187:AF195,'Cuadro Mando Integral Detallado'!AF220:AF221)/COUNT('Cuadro Mando Integral Detallado'!AF15,'Cuadro Mando Integral Detallado'!AF18:AF31,'Cuadro Mando Integral Detallado'!AF108:AF111,'Cuadro Mando Integral Detallado'!AF113:AF114,'Cuadro Mando Integral Detallado'!AF187:AF195,'Cuadro Mando Integral Detallado'!AF220:AF221)</f>
        <v>0.40798706797163203</v>
      </c>
      <c r="AW11" s="820">
        <f t="shared" si="39"/>
        <v>0.40798706797163203</v>
      </c>
      <c r="AX11" s="806">
        <f t="shared" si="35"/>
        <v>0.40798706797163203</v>
      </c>
      <c r="AY11" s="806">
        <f t="shared" si="36"/>
        <v>0.40798706797163203</v>
      </c>
      <c r="AZ11" s="806">
        <f t="shared" si="37"/>
        <v>0.40798706797163203</v>
      </c>
      <c r="BA11" s="591">
        <f t="shared" si="38"/>
        <v>0.40798706797163203</v>
      </c>
    </row>
    <row r="12" spans="1:53" ht="36" x14ac:dyDescent="0.25">
      <c r="A12" s="296" t="s">
        <v>831</v>
      </c>
      <c r="B12" s="437"/>
      <c r="C12" s="834">
        <f>SUM('Cuadro Mando Integral Detallado'!I36,'Cuadro Mando Integral Detallado'!I121:I122,'Cuadro Mando Integral Detallado'!I176)/COUNT('Cuadro Mando Integral Detallado'!I36,'Cuadro Mando Integral Detallado'!I121:I122,'Cuadro Mando Integral Detallado'!I176)</f>
        <v>0.84814814021705642</v>
      </c>
      <c r="D12" s="820">
        <f t="shared" si="0"/>
        <v>0.84814814021705642</v>
      </c>
      <c r="E12" s="794">
        <f t="shared" si="1"/>
        <v>0.84814814021705642</v>
      </c>
      <c r="F12" s="794">
        <f t="shared" si="2"/>
        <v>0.84814814021705642</v>
      </c>
      <c r="G12" s="794">
        <f t="shared" si="3"/>
        <v>0.84814814021705642</v>
      </c>
      <c r="H12" s="581">
        <f t="shared" si="4"/>
        <v>0.84814814021705642</v>
      </c>
      <c r="I12" s="824">
        <f>SUM('Cuadro Mando Integral Detallado'!K36,'Cuadro Mando Integral Detallado'!K121:K122,'Cuadro Mando Integral Detallado'!K176)/COUNT('Cuadro Mando Integral Detallado'!K36,'Cuadro Mando Integral Detallado'!K121:K122,'Cuadro Mando Integral Detallado'!K176)</f>
        <v>0.15902777629069809</v>
      </c>
      <c r="J12" s="809">
        <f t="shared" si="5"/>
        <v>0.15902777629069809</v>
      </c>
      <c r="K12" s="806">
        <f t="shared" si="6"/>
        <v>0.15902777629069809</v>
      </c>
      <c r="L12" s="806">
        <f t="shared" si="7"/>
        <v>0.15902777629069809</v>
      </c>
      <c r="M12" s="806">
        <f t="shared" si="8"/>
        <v>0.15902777629069809</v>
      </c>
      <c r="N12" s="591">
        <f t="shared" si="9"/>
        <v>0.15902777629069809</v>
      </c>
      <c r="O12" s="163"/>
      <c r="P12" s="596">
        <f>SUM('Cuadro Mando Integral Detallado'!P36,'Cuadro Mando Integral Detallado'!P121:P122,'Cuadro Mando Integral Detallado'!P176)/COUNT('Cuadro Mando Integral Detallado'!P36,'Cuadro Mando Integral Detallado'!P121:P122,'Cuadro Mando Integral Detallado'!P176)</f>
        <v>1</v>
      </c>
      <c r="Q12" s="820">
        <f t="shared" si="10"/>
        <v>1</v>
      </c>
      <c r="R12" s="794">
        <f t="shared" si="11"/>
        <v>1</v>
      </c>
      <c r="S12" s="794">
        <f t="shared" si="12"/>
        <v>1</v>
      </c>
      <c r="T12" s="794">
        <f t="shared" si="13"/>
        <v>1</v>
      </c>
      <c r="U12" s="581">
        <f t="shared" si="14"/>
        <v>1</v>
      </c>
      <c r="V12" s="824">
        <f>SUM('Cuadro Mando Integral Detallado'!R36,'Cuadro Mando Integral Detallado'!R121:R122,'Cuadro Mando Integral Detallado'!R176)/COUNT('Cuadro Mando Integral Detallado'!R36,'Cuadro Mando Integral Detallado'!R121:R122,'Cuadro Mando Integral Detallado'!R176)</f>
        <v>0.59652777629069809</v>
      </c>
      <c r="W12" s="809">
        <f t="shared" si="15"/>
        <v>0.59652777629069809</v>
      </c>
      <c r="X12" s="806">
        <f t="shared" si="16"/>
        <v>0.59652777629069809</v>
      </c>
      <c r="Y12" s="806">
        <f t="shared" si="17"/>
        <v>0.59652777629069809</v>
      </c>
      <c r="Z12" s="806">
        <f t="shared" si="18"/>
        <v>0.59652777629069809</v>
      </c>
      <c r="AA12" s="591">
        <f t="shared" si="19"/>
        <v>0.59652777629069809</v>
      </c>
      <c r="AB12" s="588"/>
      <c r="AC12" s="596">
        <f>SUM('Cuadro Mando Integral Detallado'!W36,'Cuadro Mando Integral Detallado'!W121:W122,'Cuadro Mando Integral Detallado'!W176)/COUNT('Cuadro Mando Integral Detallado'!W36,'Cuadro Mando Integral Detallado'!W121:W122,'Cuadro Mando Integral Detallado'!W176)</f>
        <v>0</v>
      </c>
      <c r="AD12" s="820">
        <f t="shared" si="20"/>
        <v>0</v>
      </c>
      <c r="AE12" s="794">
        <f t="shared" si="21"/>
        <v>0</v>
      </c>
      <c r="AF12" s="794">
        <f t="shared" si="22"/>
        <v>0</v>
      </c>
      <c r="AG12" s="794">
        <f t="shared" si="23"/>
        <v>0</v>
      </c>
      <c r="AH12" s="581">
        <f t="shared" si="24"/>
        <v>0</v>
      </c>
      <c r="AI12" s="824">
        <f>SUM('Cuadro Mando Integral Detallado'!Y36,'Cuadro Mando Integral Detallado'!Y121:Y122,'Cuadro Mando Integral Detallado'!Y176)/COUNT('Cuadro Mando Integral Detallado'!Y36,'Cuadro Mando Integral Detallado'!Y121:Y122,'Cuadro Mando Integral Detallado'!Y176)</f>
        <v>0.59652777629069809</v>
      </c>
      <c r="AJ12" s="820">
        <f>+AI12</f>
        <v>0.59652777629069809</v>
      </c>
      <c r="AK12" s="806">
        <f t="shared" si="26"/>
        <v>0.59652777629069809</v>
      </c>
      <c r="AL12" s="806">
        <f t="shared" si="27"/>
        <v>0.59652777629069809</v>
      </c>
      <c r="AM12" s="806">
        <f t="shared" si="28"/>
        <v>0.59652777629069809</v>
      </c>
      <c r="AN12" s="591">
        <f t="shared" si="29"/>
        <v>0.59652777629069809</v>
      </c>
      <c r="AO12" s="588"/>
      <c r="AP12" s="596">
        <f>SUM('Cuadro Mando Integral Detallado'!AD36,'Cuadro Mando Integral Detallado'!AD121:AD122,'Cuadro Mando Integral Detallado'!AD176)/COUNT('Cuadro Mando Integral Detallado'!AD36,'Cuadro Mando Integral Detallado'!AD121:AD122,'Cuadro Mando Integral Detallado'!AD176)</f>
        <v>0</v>
      </c>
      <c r="AQ12" s="820">
        <f t="shared" si="30"/>
        <v>0</v>
      </c>
      <c r="AR12" s="794">
        <f t="shared" si="31"/>
        <v>0</v>
      </c>
      <c r="AS12" s="794">
        <f t="shared" si="32"/>
        <v>0</v>
      </c>
      <c r="AT12" s="794">
        <f t="shared" si="33"/>
        <v>0</v>
      </c>
      <c r="AU12" s="581">
        <f t="shared" si="34"/>
        <v>0</v>
      </c>
      <c r="AV12" s="824">
        <f>SUM('Cuadro Mando Integral Detallado'!AF36,'Cuadro Mando Integral Detallado'!AF121:AF122,'Cuadro Mando Integral Detallado'!AF176)/COUNT('Cuadro Mando Integral Detallado'!AF36,'Cuadro Mando Integral Detallado'!AF121:AF122,'Cuadro Mando Integral Detallado'!AF176)</f>
        <v>0.59652777629069809</v>
      </c>
      <c r="AW12" s="820">
        <f>+AV12</f>
        <v>0.59652777629069809</v>
      </c>
      <c r="AX12" s="806">
        <f t="shared" si="35"/>
        <v>0.59652777629069809</v>
      </c>
      <c r="AY12" s="806">
        <f t="shared" si="36"/>
        <v>0.59652777629069809</v>
      </c>
      <c r="AZ12" s="806">
        <f t="shared" si="37"/>
        <v>0.59652777629069809</v>
      </c>
      <c r="BA12" s="591">
        <f t="shared" si="38"/>
        <v>0.59652777629069809</v>
      </c>
    </row>
    <row r="13" spans="1:53" ht="18" x14ac:dyDescent="0.25">
      <c r="A13" s="296" t="s">
        <v>349</v>
      </c>
      <c r="B13" s="437"/>
      <c r="C13" s="834">
        <f>SUM('Cuadro Mando Integral Detallado'!I78:I96,'Cuadro Mando Integral Detallado'!I156:I166,'Cuadro Mando Integral Detallado'!I175,'Cuadro Mando Integral Detallado'!I201:I202,'Cuadro Mando Integral Detallado'!I212:I217)/COUNT('Cuadro Mando Integral Detallado'!I78:I96,'Cuadro Mando Integral Detallado'!I156:I166,'Cuadro Mando Integral Detallado'!I175,'Cuadro Mando Integral Detallado'!I201:I202,'Cuadro Mando Integral Detallado'!I212:I217)</f>
        <v>0.56820504393131899</v>
      </c>
      <c r="D13" s="820">
        <f t="shared" si="0"/>
        <v>0.56820504393131899</v>
      </c>
      <c r="E13" s="794">
        <f t="shared" si="1"/>
        <v>0.56820504393131899</v>
      </c>
      <c r="F13" s="794">
        <f t="shared" si="2"/>
        <v>0.56820504393131899</v>
      </c>
      <c r="G13" s="794">
        <f t="shared" si="3"/>
        <v>0.56820504393131899</v>
      </c>
      <c r="H13" s="581">
        <f t="shared" si="4"/>
        <v>0.56820504393131899</v>
      </c>
      <c r="I13" s="824">
        <f>SUM('Cuadro Mando Integral Detallado'!K78:K96,'Cuadro Mando Integral Detallado'!K156:K166,'Cuadro Mando Integral Detallado'!K175,'Cuadro Mando Integral Detallado'!K201:K202,'Cuadro Mando Integral Detallado'!K212:K217)/COUNT('Cuadro Mando Integral Detallado'!K78:K96,'Cuadro Mando Integral Detallado'!K156:K166,'Cuadro Mando Integral Detallado'!K175,'Cuadro Mando Integral Detallado'!K201:K202,'Cuadro Mando Integral Detallado'!K212:K217)</f>
        <v>0.13034652579717468</v>
      </c>
      <c r="J13" s="809">
        <f t="shared" si="5"/>
        <v>0.13034652579717468</v>
      </c>
      <c r="K13" s="806">
        <f t="shared" si="6"/>
        <v>0.13034652579717468</v>
      </c>
      <c r="L13" s="806">
        <f t="shared" si="7"/>
        <v>0.13034652579717468</v>
      </c>
      <c r="M13" s="806">
        <f t="shared" si="8"/>
        <v>0.13034652579717468</v>
      </c>
      <c r="N13" s="591">
        <f t="shared" si="9"/>
        <v>0.13034652579717468</v>
      </c>
      <c r="O13" s="163"/>
      <c r="P13" s="596">
        <f>SUM('Cuadro Mando Integral Detallado'!P78:P96,'Cuadro Mando Integral Detallado'!P156:P166,'Cuadro Mando Integral Detallado'!P175,'Cuadro Mando Integral Detallado'!P201:P202,'Cuadro Mando Integral Detallado'!P212:P217)/COUNT('Cuadro Mando Integral Detallado'!P78:P96,'Cuadro Mando Integral Detallado'!P156:P166,'Cuadro Mando Integral Detallado'!P175,'Cuadro Mando Integral Detallado'!P201:P202,'Cuadro Mando Integral Detallado'!P212:P217)</f>
        <v>0.68490440670440944</v>
      </c>
      <c r="Q13" s="820">
        <f t="shared" si="10"/>
        <v>0.68490440670440944</v>
      </c>
      <c r="R13" s="794">
        <f t="shared" si="11"/>
        <v>0.68490440670440944</v>
      </c>
      <c r="S13" s="794">
        <f t="shared" si="12"/>
        <v>0.68490440670440944</v>
      </c>
      <c r="T13" s="794">
        <f t="shared" si="13"/>
        <v>0.68490440670440944</v>
      </c>
      <c r="U13" s="581">
        <f t="shared" si="14"/>
        <v>0.68490440670440944</v>
      </c>
      <c r="V13" s="824">
        <f>SUM('Cuadro Mando Integral Detallado'!R78:R96,'Cuadro Mando Integral Detallado'!R156:R166,'Cuadro Mando Integral Detallado'!R175,'Cuadro Mando Integral Detallado'!R201:R202,'Cuadro Mando Integral Detallado'!R212:R217)/COUNT('Cuadro Mando Integral Detallado'!R78:R96,'Cuadro Mando Integral Detallado'!R156:R166,'Cuadro Mando Integral Detallado'!R175,'Cuadro Mando Integral Detallado'!R201:R202,'Cuadro Mando Integral Detallado'!R212:R217)</f>
        <v>0.28643757497692868</v>
      </c>
      <c r="W13" s="809">
        <f t="shared" si="15"/>
        <v>0.28643757497692868</v>
      </c>
      <c r="X13" s="806">
        <f t="shared" si="16"/>
        <v>0.28643757497692868</v>
      </c>
      <c r="Y13" s="806">
        <f t="shared" si="17"/>
        <v>0.28643757497692868</v>
      </c>
      <c r="Z13" s="806">
        <f t="shared" si="18"/>
        <v>0.28643757497692868</v>
      </c>
      <c r="AA13" s="591">
        <f t="shared" si="19"/>
        <v>0.28643757497692868</v>
      </c>
      <c r="AB13" s="588"/>
      <c r="AC13" s="596">
        <f>SUM('Cuadro Mando Integral Detallado'!W78:W97,'Cuadro Mando Integral Detallado'!W156:W166,'Cuadro Mando Integral Detallado'!W175,'Cuadro Mando Integral Detallado'!W201:W202,'Cuadro Mando Integral Detallado'!W212:W217)/COUNT('Cuadro Mando Integral Detallado'!W78:W97,'Cuadro Mando Integral Detallado'!W156:W166,'Cuadro Mando Integral Detallado'!W175,'Cuadro Mando Integral Detallado'!W201:W202,'Cuadro Mando Integral Detallado'!W212:W217)</f>
        <v>0</v>
      </c>
      <c r="AD13" s="820">
        <f t="shared" si="20"/>
        <v>0</v>
      </c>
      <c r="AE13" s="794">
        <f t="shared" si="21"/>
        <v>0</v>
      </c>
      <c r="AF13" s="794">
        <f t="shared" si="22"/>
        <v>0</v>
      </c>
      <c r="AG13" s="794">
        <f t="shared" si="23"/>
        <v>0</v>
      </c>
      <c r="AH13" s="581">
        <f t="shared" si="24"/>
        <v>0</v>
      </c>
      <c r="AI13" s="824">
        <f>SUM('Cuadro Mando Integral Detallado'!Y78:Y97,'Cuadro Mando Integral Detallado'!Y156:Y166,'Cuadro Mando Integral Detallado'!Y175,'Cuadro Mando Integral Detallado'!Y201:Y202,'Cuadro Mando Integral Detallado'!Y212:Y217)/COUNT('Cuadro Mando Integral Detallado'!Y78:Y97,'Cuadro Mando Integral Detallado'!Y156:Y166,'Cuadro Mando Integral Detallado'!Y175,'Cuadro Mando Integral Detallado'!Y201:Y202,'Cuadro Mando Integral Detallado'!Y212:Y217)</f>
        <v>0.2826028506125085</v>
      </c>
      <c r="AJ13" s="820">
        <f t="shared" si="25"/>
        <v>0.2826028506125085</v>
      </c>
      <c r="AK13" s="806">
        <f t="shared" si="26"/>
        <v>0.2826028506125085</v>
      </c>
      <c r="AL13" s="806">
        <f t="shared" si="27"/>
        <v>0.2826028506125085</v>
      </c>
      <c r="AM13" s="806">
        <f t="shared" si="28"/>
        <v>0.2826028506125085</v>
      </c>
      <c r="AN13" s="591">
        <f t="shared" si="29"/>
        <v>0.2826028506125085</v>
      </c>
      <c r="AO13" s="588"/>
      <c r="AP13" s="596">
        <f>SUM('Cuadro Mando Integral Detallado'!AD78:AD97,'Cuadro Mando Integral Detallado'!AD156:AD166,'Cuadro Mando Integral Detallado'!AD175,'Cuadro Mando Integral Detallado'!AD201:AD202,'Cuadro Mando Integral Detallado'!AD212:AD217)/COUNT('Cuadro Mando Integral Detallado'!AD78:AD97,'Cuadro Mando Integral Detallado'!AD156:AD166,'Cuadro Mando Integral Detallado'!AD175,'Cuadro Mando Integral Detallado'!AD201:AD202,'Cuadro Mando Integral Detallado'!AD212:AD217)</f>
        <v>0</v>
      </c>
      <c r="AQ13" s="820">
        <f t="shared" si="30"/>
        <v>0</v>
      </c>
      <c r="AR13" s="794">
        <f t="shared" si="31"/>
        <v>0</v>
      </c>
      <c r="AS13" s="794">
        <f t="shared" si="32"/>
        <v>0</v>
      </c>
      <c r="AT13" s="794">
        <f t="shared" si="33"/>
        <v>0</v>
      </c>
      <c r="AU13" s="581">
        <f t="shared" si="34"/>
        <v>0</v>
      </c>
      <c r="AV13" s="824">
        <f>SUM('Cuadro Mando Integral Detallado'!AF78:AF97,'Cuadro Mando Integral Detallado'!AF156:AF166,'Cuadro Mando Integral Detallado'!AF175,'Cuadro Mando Integral Detallado'!AF201:AF202,'Cuadro Mando Integral Detallado'!AF212:AF217)/COUNT('Cuadro Mando Integral Detallado'!AF78:AF97,'Cuadro Mando Integral Detallado'!AF156:AF166,'Cuadro Mando Integral Detallado'!AF175,'Cuadro Mando Integral Detallado'!AF201:AF202,'Cuadro Mando Integral Detallado'!AF212:AF217)</f>
        <v>0.2826028506125085</v>
      </c>
      <c r="AW13" s="820">
        <f t="shared" si="39"/>
        <v>0.2826028506125085</v>
      </c>
      <c r="AX13" s="806">
        <f t="shared" si="35"/>
        <v>0.2826028506125085</v>
      </c>
      <c r="AY13" s="806">
        <f t="shared" si="36"/>
        <v>0.2826028506125085</v>
      </c>
      <c r="AZ13" s="806">
        <f t="shared" si="37"/>
        <v>0.2826028506125085</v>
      </c>
      <c r="BA13" s="591">
        <f t="shared" si="38"/>
        <v>0.2826028506125085</v>
      </c>
    </row>
    <row r="14" spans="1:53" ht="18.75" thickBot="1" x14ac:dyDescent="0.3">
      <c r="A14" s="293" t="s">
        <v>5</v>
      </c>
      <c r="B14" s="438"/>
      <c r="C14" s="835">
        <f>SUM('Cuadro Mando Integral Detallado'!I117,'Cuadro Mando Integral Detallado'!I174,'Cuadro Mando Integral Detallado'!I196:I200,'Cuadro Mando Integral Detallado'!I222)/COUNT('Cuadro Mando Integral Detallado'!I117,'Cuadro Mando Integral Detallado'!I174,'Cuadro Mando Integral Detallado'!I196:I200,'Cuadro Mando Integral Detallado'!I222)</f>
        <v>0.97735849056603785</v>
      </c>
      <c r="D14" s="821">
        <f t="shared" si="0"/>
        <v>0.97735849056603785</v>
      </c>
      <c r="E14" s="796">
        <f t="shared" si="1"/>
        <v>0.97735849056603785</v>
      </c>
      <c r="F14" s="796">
        <f t="shared" si="2"/>
        <v>0.97735849056603785</v>
      </c>
      <c r="G14" s="796">
        <f t="shared" si="3"/>
        <v>0.97735849056603785</v>
      </c>
      <c r="H14" s="582">
        <f t="shared" si="4"/>
        <v>0.97735849056603785</v>
      </c>
      <c r="I14" s="825">
        <f>SUM('Cuadro Mando Integral Detallado'!K117,'Cuadro Mando Integral Detallado'!K174,'Cuadro Mando Integral Detallado'!K196:K200,'Cuadro Mando Integral Detallado'!K222)/COUNT('Cuadro Mando Integral Detallado'!K117,'Cuadro Mando Integral Detallado'!K174,'Cuadro Mando Integral Detallado'!K196:K200,'Cuadro Mando Integral Detallado'!K222)</f>
        <v>0.21875</v>
      </c>
      <c r="J14" s="810">
        <f t="shared" si="5"/>
        <v>0.21875</v>
      </c>
      <c r="K14" s="811">
        <f t="shared" si="6"/>
        <v>0.21875</v>
      </c>
      <c r="L14" s="811">
        <f t="shared" si="7"/>
        <v>0.21875</v>
      </c>
      <c r="M14" s="811">
        <f t="shared" si="8"/>
        <v>0.21875</v>
      </c>
      <c r="N14" s="592">
        <f t="shared" si="9"/>
        <v>0.21875</v>
      </c>
      <c r="O14" s="163"/>
      <c r="P14" s="597">
        <f>SUM('Cuadro Mando Integral Detallado'!P117,'Cuadro Mando Integral Detallado'!P174,'Cuadro Mando Integral Detallado'!P196:P200,'Cuadro Mando Integral Detallado'!P222)/COUNT('Cuadro Mando Integral Detallado'!P117,'Cuadro Mando Integral Detallado'!P174,'Cuadro Mando Integral Detallado'!P196:P200,'Cuadro Mando Integral Detallado'!P222)</f>
        <v>1.0771086212262684</v>
      </c>
      <c r="Q14" s="821">
        <f t="shared" si="10"/>
        <v>1.0771086212262684</v>
      </c>
      <c r="R14" s="796">
        <f t="shared" si="11"/>
        <v>1.0771086212262684</v>
      </c>
      <c r="S14" s="796">
        <f t="shared" si="12"/>
        <v>1.0771086212262684</v>
      </c>
      <c r="T14" s="796">
        <f t="shared" si="13"/>
        <v>1.0771086212262684</v>
      </c>
      <c r="U14" s="582">
        <f t="shared" si="14"/>
        <v>1.0771086212262684</v>
      </c>
      <c r="V14" s="825">
        <f>SUM('Cuadro Mando Integral Detallado'!R117,'Cuadro Mando Integral Detallado'!R174,'Cuadro Mando Integral Detallado'!R196:R200,'Cuadro Mando Integral Detallado'!R222)/COUNT('Cuadro Mando Integral Detallado'!R117,'Cuadro Mando Integral Detallado'!R174,'Cuadro Mando Integral Detallado'!R196:R200,'Cuadro Mando Integral Detallado'!R222)</f>
        <v>0.49428104575163401</v>
      </c>
      <c r="W14" s="810">
        <f t="shared" si="15"/>
        <v>0.49428104575163401</v>
      </c>
      <c r="X14" s="811">
        <f t="shared" si="16"/>
        <v>0.49428104575163401</v>
      </c>
      <c r="Y14" s="811">
        <f t="shared" si="17"/>
        <v>0.49428104575163401</v>
      </c>
      <c r="Z14" s="811">
        <f t="shared" si="18"/>
        <v>0.49428104575163401</v>
      </c>
      <c r="AA14" s="592">
        <f>+W14</f>
        <v>0.49428104575163401</v>
      </c>
      <c r="AB14" s="588"/>
      <c r="AC14" s="597">
        <f>SUM('Cuadro Mando Integral Detallado'!W117,'Cuadro Mando Integral Detallado'!W174,'Cuadro Mando Integral Detallado'!W196:W200,'Cuadro Mando Integral Detallado'!W222)/COUNT('Cuadro Mando Integral Detallado'!W117,'Cuadro Mando Integral Detallado'!W174,'Cuadro Mando Integral Detallado'!W196:W200,'Cuadro Mando Integral Detallado'!W222)</f>
        <v>0</v>
      </c>
      <c r="AD14" s="821">
        <f t="shared" si="20"/>
        <v>0</v>
      </c>
      <c r="AE14" s="796">
        <f t="shared" si="21"/>
        <v>0</v>
      </c>
      <c r="AF14" s="796">
        <f t="shared" si="22"/>
        <v>0</v>
      </c>
      <c r="AG14" s="796">
        <f t="shared" si="23"/>
        <v>0</v>
      </c>
      <c r="AH14" s="582">
        <f t="shared" si="24"/>
        <v>0</v>
      </c>
      <c r="AI14" s="825">
        <f>SUM('Cuadro Mando Integral Detallado'!Y117,'Cuadro Mando Integral Detallado'!Y174,'Cuadro Mando Integral Detallado'!Y196:Y200,'Cuadro Mando Integral Detallado'!Y222)/COUNT('Cuadro Mando Integral Detallado'!Y117,'Cuadro Mando Integral Detallado'!Y174,'Cuadro Mando Integral Detallado'!Y196:Y200,'Cuadro Mando Integral Detallado'!Y222)</f>
        <v>0.49428104575163401</v>
      </c>
      <c r="AJ14" s="821">
        <f>+AI14</f>
        <v>0.49428104575163401</v>
      </c>
      <c r="AK14" s="811">
        <f t="shared" si="26"/>
        <v>0.49428104575163401</v>
      </c>
      <c r="AL14" s="811">
        <f t="shared" si="27"/>
        <v>0.49428104575163401</v>
      </c>
      <c r="AM14" s="811">
        <f t="shared" si="28"/>
        <v>0.49428104575163401</v>
      </c>
      <c r="AN14" s="592">
        <f t="shared" si="29"/>
        <v>0.49428104575163401</v>
      </c>
      <c r="AO14" s="588"/>
      <c r="AP14" s="597">
        <f>SUM('Cuadro Mando Integral Detallado'!AD117,'Cuadro Mando Integral Detallado'!AD174,'Cuadro Mando Integral Detallado'!AD196:AD200,'Cuadro Mando Integral Detallado'!AD222)/COUNT('Cuadro Mando Integral Detallado'!AD117,'Cuadro Mando Integral Detallado'!AD174,'Cuadro Mando Integral Detallado'!AD196:AD200,'Cuadro Mando Integral Detallado'!AD222)</f>
        <v>0</v>
      </c>
      <c r="AQ14" s="821">
        <f t="shared" si="30"/>
        <v>0</v>
      </c>
      <c r="AR14" s="796">
        <f t="shared" si="31"/>
        <v>0</v>
      </c>
      <c r="AS14" s="796">
        <f t="shared" si="32"/>
        <v>0</v>
      </c>
      <c r="AT14" s="796">
        <f t="shared" si="33"/>
        <v>0</v>
      </c>
      <c r="AU14" s="582">
        <f t="shared" si="34"/>
        <v>0</v>
      </c>
      <c r="AV14" s="825">
        <f>SUM('Cuadro Mando Integral Detallado'!AF117,'Cuadro Mando Integral Detallado'!AF174,'Cuadro Mando Integral Detallado'!AF196:AF200,'Cuadro Mando Integral Detallado'!AF222)/COUNT('Cuadro Mando Integral Detallado'!AF117,'Cuadro Mando Integral Detallado'!AF174,'Cuadro Mando Integral Detallado'!AF196:AF200,'Cuadro Mando Integral Detallado'!AF222)</f>
        <v>0.49428104575163401</v>
      </c>
      <c r="AW14" s="821">
        <f t="shared" si="39"/>
        <v>0.49428104575163401</v>
      </c>
      <c r="AX14" s="811">
        <f t="shared" si="35"/>
        <v>0.49428104575163401</v>
      </c>
      <c r="AY14" s="811">
        <f t="shared" si="36"/>
        <v>0.49428104575163401</v>
      </c>
      <c r="AZ14" s="811">
        <f t="shared" si="37"/>
        <v>0.49428104575163401</v>
      </c>
      <c r="BA14" s="592">
        <f t="shared" si="38"/>
        <v>0.49428104575163401</v>
      </c>
    </row>
    <row r="15" spans="1:53" x14ac:dyDescent="0.25">
      <c r="A15" s="173"/>
    </row>
  </sheetData>
  <mergeCells count="18">
    <mergeCell ref="A1:A3"/>
    <mergeCell ref="I1:AO1"/>
    <mergeCell ref="I2:AO2"/>
    <mergeCell ref="I3:N3"/>
    <mergeCell ref="O3:AH3"/>
    <mergeCell ref="AP5:AU5"/>
    <mergeCell ref="AV5:BA5"/>
    <mergeCell ref="AP1:BA3"/>
    <mergeCell ref="B1:H1"/>
    <mergeCell ref="B2:H2"/>
    <mergeCell ref="B3:H3"/>
    <mergeCell ref="AJ3:AO3"/>
    <mergeCell ref="C5:H5"/>
    <mergeCell ref="I5:N5"/>
    <mergeCell ref="P5:U5"/>
    <mergeCell ref="V5:AA5"/>
    <mergeCell ref="AC5:AH5"/>
    <mergeCell ref="AI5:AN5"/>
  </mergeCells>
  <conditionalFormatting sqref="D6">
    <cfRule type="cellIs" dxfId="727" priority="375" stopIfTrue="1" operator="between">
      <formula>0</formula>
      <formula>0.5</formula>
    </cfRule>
  </conditionalFormatting>
  <conditionalFormatting sqref="E6">
    <cfRule type="cellIs" dxfId="726" priority="374" operator="between">
      <formula>0.51</formula>
      <formula>0.75</formula>
    </cfRule>
  </conditionalFormatting>
  <conditionalFormatting sqref="F6">
    <cfRule type="cellIs" dxfId="725" priority="373" operator="between">
      <formula>0.76</formula>
      <formula>0.95</formula>
    </cfRule>
  </conditionalFormatting>
  <conditionalFormatting sqref="G6">
    <cfRule type="cellIs" dxfId="724" priority="372" operator="between">
      <formula>0.95</formula>
      <formula>1</formula>
    </cfRule>
  </conditionalFormatting>
  <conditionalFormatting sqref="H6">
    <cfRule type="cellIs" dxfId="723" priority="371" operator="greaterThan">
      <formula>1</formula>
    </cfRule>
  </conditionalFormatting>
  <conditionalFormatting sqref="D7">
    <cfRule type="cellIs" dxfId="722" priority="370" stopIfTrue="1" operator="between">
      <formula>0</formula>
      <formula>0.5</formula>
    </cfRule>
  </conditionalFormatting>
  <conditionalFormatting sqref="E7">
    <cfRule type="cellIs" dxfId="721" priority="369" operator="between">
      <formula>0.51</formula>
      <formula>0.75</formula>
    </cfRule>
  </conditionalFormatting>
  <conditionalFormatting sqref="F7">
    <cfRule type="cellIs" dxfId="720" priority="368" operator="between">
      <formula>0.76</formula>
      <formula>0.95</formula>
    </cfRule>
  </conditionalFormatting>
  <conditionalFormatting sqref="G7">
    <cfRule type="cellIs" dxfId="719" priority="367" operator="between">
      <formula>0.95</formula>
      <formula>1</formula>
    </cfRule>
  </conditionalFormatting>
  <conditionalFormatting sqref="H7">
    <cfRule type="cellIs" dxfId="718" priority="366" operator="greaterThan">
      <formula>1</formula>
    </cfRule>
  </conditionalFormatting>
  <conditionalFormatting sqref="D8">
    <cfRule type="cellIs" dxfId="717" priority="365" stopIfTrue="1" operator="between">
      <formula>0</formula>
      <formula>0.5</formula>
    </cfRule>
  </conditionalFormatting>
  <conditionalFormatting sqref="E8">
    <cfRule type="cellIs" dxfId="716" priority="364" operator="between">
      <formula>0.51</formula>
      <formula>0.75</formula>
    </cfRule>
  </conditionalFormatting>
  <conditionalFormatting sqref="F8">
    <cfRule type="cellIs" dxfId="715" priority="363" operator="between">
      <formula>0.76</formula>
      <formula>0.95</formula>
    </cfRule>
  </conditionalFormatting>
  <conditionalFormatting sqref="G8">
    <cfRule type="cellIs" dxfId="714" priority="362" operator="between">
      <formula>0.95</formula>
      <formula>1</formula>
    </cfRule>
  </conditionalFormatting>
  <conditionalFormatting sqref="H8">
    <cfRule type="cellIs" dxfId="713" priority="361" operator="greaterThan">
      <formula>1</formula>
    </cfRule>
  </conditionalFormatting>
  <conditionalFormatting sqref="D9">
    <cfRule type="cellIs" dxfId="712" priority="360" stopIfTrue="1" operator="between">
      <formula>0</formula>
      <formula>0.5</formula>
    </cfRule>
  </conditionalFormatting>
  <conditionalFormatting sqref="E9">
    <cfRule type="cellIs" dxfId="711" priority="359" operator="between">
      <formula>0.51</formula>
      <formula>0.75</formula>
    </cfRule>
  </conditionalFormatting>
  <conditionalFormatting sqref="F9">
    <cfRule type="cellIs" dxfId="710" priority="358" operator="between">
      <formula>0.76</formula>
      <formula>0.95</formula>
    </cfRule>
  </conditionalFormatting>
  <conditionalFormatting sqref="G9">
    <cfRule type="cellIs" dxfId="709" priority="357" operator="between">
      <formula>0.95</formula>
      <formula>1</formula>
    </cfRule>
  </conditionalFormatting>
  <conditionalFormatting sqref="H9">
    <cfRule type="cellIs" dxfId="708" priority="356" operator="greaterThan">
      <formula>1</formula>
    </cfRule>
  </conditionalFormatting>
  <conditionalFormatting sqref="D10">
    <cfRule type="cellIs" dxfId="707" priority="355" stopIfTrue="1" operator="between">
      <formula>0</formula>
      <formula>0.5</formula>
    </cfRule>
  </conditionalFormatting>
  <conditionalFormatting sqref="E10">
    <cfRule type="cellIs" dxfId="706" priority="354" operator="between">
      <formula>0.51</formula>
      <formula>0.75</formula>
    </cfRule>
  </conditionalFormatting>
  <conditionalFormatting sqref="F10">
    <cfRule type="cellIs" dxfId="705" priority="353" operator="between">
      <formula>0.76</formula>
      <formula>0.95</formula>
    </cfRule>
  </conditionalFormatting>
  <conditionalFormatting sqref="G10">
    <cfRule type="cellIs" dxfId="704" priority="352" operator="between">
      <formula>0.95</formula>
      <formula>1</formula>
    </cfRule>
  </conditionalFormatting>
  <conditionalFormatting sqref="H10">
    <cfRule type="cellIs" dxfId="703" priority="351" operator="greaterThan">
      <formula>1</formula>
    </cfRule>
  </conditionalFormatting>
  <conditionalFormatting sqref="D11">
    <cfRule type="cellIs" dxfId="702" priority="350" stopIfTrue="1" operator="between">
      <formula>0</formula>
      <formula>0.5</formula>
    </cfRule>
  </conditionalFormatting>
  <conditionalFormatting sqref="E11">
    <cfRule type="cellIs" dxfId="701" priority="349" operator="between">
      <formula>0.51</formula>
      <formula>0.75</formula>
    </cfRule>
  </conditionalFormatting>
  <conditionalFormatting sqref="F11">
    <cfRule type="cellIs" dxfId="700" priority="348" operator="between">
      <formula>0.76</formula>
      <formula>0.95</formula>
    </cfRule>
  </conditionalFormatting>
  <conditionalFormatting sqref="G11">
    <cfRule type="cellIs" dxfId="699" priority="347" operator="between">
      <formula>0.95</formula>
      <formula>1</formula>
    </cfRule>
  </conditionalFormatting>
  <conditionalFormatting sqref="H11">
    <cfRule type="cellIs" dxfId="698" priority="346" operator="greaterThan">
      <formula>1</formula>
    </cfRule>
  </conditionalFormatting>
  <conditionalFormatting sqref="D12">
    <cfRule type="cellIs" dxfId="697" priority="345" stopIfTrue="1" operator="between">
      <formula>0</formula>
      <formula>0.5</formula>
    </cfRule>
  </conditionalFormatting>
  <conditionalFormatting sqref="E12">
    <cfRule type="cellIs" dxfId="696" priority="344" operator="between">
      <formula>0.51</formula>
      <formula>0.75</formula>
    </cfRule>
  </conditionalFormatting>
  <conditionalFormatting sqref="F12">
    <cfRule type="cellIs" dxfId="695" priority="343" operator="between">
      <formula>0.76</formula>
      <formula>0.95</formula>
    </cfRule>
  </conditionalFormatting>
  <conditionalFormatting sqref="G12">
    <cfRule type="cellIs" dxfId="694" priority="342" operator="between">
      <formula>0.95</formula>
      <formula>1</formula>
    </cfRule>
  </conditionalFormatting>
  <conditionalFormatting sqref="H12">
    <cfRule type="cellIs" dxfId="693" priority="341" operator="greaterThan">
      <formula>1</formula>
    </cfRule>
  </conditionalFormatting>
  <conditionalFormatting sqref="D13">
    <cfRule type="cellIs" dxfId="692" priority="340" stopIfTrue="1" operator="between">
      <formula>0</formula>
      <formula>0.5</formula>
    </cfRule>
  </conditionalFormatting>
  <conditionalFormatting sqref="E13">
    <cfRule type="cellIs" dxfId="691" priority="339" operator="between">
      <formula>0.51</formula>
      <formula>0.75</formula>
    </cfRule>
  </conditionalFormatting>
  <conditionalFormatting sqref="F13">
    <cfRule type="cellIs" dxfId="690" priority="338" operator="between">
      <formula>0.76</formula>
      <formula>0.95</formula>
    </cfRule>
  </conditionalFormatting>
  <conditionalFormatting sqref="G13">
    <cfRule type="cellIs" dxfId="689" priority="337" operator="between">
      <formula>0.95</formula>
      <formula>1</formula>
    </cfRule>
  </conditionalFormatting>
  <conditionalFormatting sqref="H13">
    <cfRule type="cellIs" dxfId="688" priority="336" operator="greaterThan">
      <formula>1</formula>
    </cfRule>
  </conditionalFormatting>
  <conditionalFormatting sqref="D14">
    <cfRule type="cellIs" dxfId="687" priority="335" stopIfTrue="1" operator="between">
      <formula>0</formula>
      <formula>0.5</formula>
    </cfRule>
  </conditionalFormatting>
  <conditionalFormatting sqref="E14">
    <cfRule type="cellIs" dxfId="686" priority="334" operator="between">
      <formula>0.51</formula>
      <formula>0.75</formula>
    </cfRule>
  </conditionalFormatting>
  <conditionalFormatting sqref="F14">
    <cfRule type="cellIs" dxfId="685" priority="333" operator="between">
      <formula>0.76</formula>
      <formula>0.95</formula>
    </cfRule>
  </conditionalFormatting>
  <conditionalFormatting sqref="G14">
    <cfRule type="cellIs" dxfId="684" priority="332" operator="between">
      <formula>0.95</formula>
      <formula>1</formula>
    </cfRule>
  </conditionalFormatting>
  <conditionalFormatting sqref="H14">
    <cfRule type="cellIs" dxfId="683" priority="331" operator="greaterThan">
      <formula>1</formula>
    </cfRule>
  </conditionalFormatting>
  <conditionalFormatting sqref="J6">
    <cfRule type="cellIs" dxfId="682" priority="330" stopIfTrue="1" operator="between">
      <formula>0</formula>
      <formula>0.125</formula>
    </cfRule>
  </conditionalFormatting>
  <conditionalFormatting sqref="K6">
    <cfRule type="cellIs" dxfId="681" priority="329" operator="between">
      <formula>0.1251</formula>
      <formula>0.19</formula>
    </cfRule>
  </conditionalFormatting>
  <conditionalFormatting sqref="L6">
    <cfRule type="cellIs" dxfId="680" priority="328" operator="between">
      <formula>0.191</formula>
      <formula>0.24</formula>
    </cfRule>
  </conditionalFormatting>
  <conditionalFormatting sqref="M6">
    <cfRule type="cellIs" dxfId="679" priority="327" operator="between">
      <formula>0.2401</formula>
      <formula>0.26</formula>
    </cfRule>
  </conditionalFormatting>
  <conditionalFormatting sqref="N6">
    <cfRule type="cellIs" dxfId="678" priority="326" operator="greaterThan">
      <formula>0.2601</formula>
    </cfRule>
  </conditionalFormatting>
  <conditionalFormatting sqref="J7">
    <cfRule type="cellIs" dxfId="677" priority="325" stopIfTrue="1" operator="between">
      <formula>0</formula>
      <formula>0.125</formula>
    </cfRule>
  </conditionalFormatting>
  <conditionalFormatting sqref="K7">
    <cfRule type="cellIs" dxfId="676" priority="324" operator="between">
      <formula>0.1251</formula>
      <formula>0.19</formula>
    </cfRule>
  </conditionalFormatting>
  <conditionalFormatting sqref="L7">
    <cfRule type="cellIs" dxfId="675" priority="323" operator="between">
      <formula>0.191</formula>
      <formula>0.24</formula>
    </cfRule>
  </conditionalFormatting>
  <conditionalFormatting sqref="M7">
    <cfRule type="cellIs" dxfId="674" priority="322" operator="between">
      <formula>0.2401</formula>
      <formula>0.26</formula>
    </cfRule>
  </conditionalFormatting>
  <conditionalFormatting sqref="N7">
    <cfRule type="cellIs" dxfId="673" priority="321" operator="greaterThan">
      <formula>0.2601</formula>
    </cfRule>
  </conditionalFormatting>
  <conditionalFormatting sqref="J8">
    <cfRule type="cellIs" dxfId="672" priority="320" stopIfTrue="1" operator="between">
      <formula>0</formula>
      <formula>0.125</formula>
    </cfRule>
  </conditionalFormatting>
  <conditionalFormatting sqref="K8">
    <cfRule type="cellIs" dxfId="671" priority="319" operator="between">
      <formula>0.1251</formula>
      <formula>0.19</formula>
    </cfRule>
  </conditionalFormatting>
  <conditionalFormatting sqref="L8">
    <cfRule type="cellIs" dxfId="670" priority="318" operator="between">
      <formula>0.191</formula>
      <formula>0.24</formula>
    </cfRule>
  </conditionalFormatting>
  <conditionalFormatting sqref="M8">
    <cfRule type="cellIs" dxfId="669" priority="317" operator="between">
      <formula>0.2401</formula>
      <formula>0.26</formula>
    </cfRule>
  </conditionalFormatting>
  <conditionalFormatting sqref="N8">
    <cfRule type="cellIs" dxfId="668" priority="316" operator="greaterThan">
      <formula>0.2601</formula>
    </cfRule>
  </conditionalFormatting>
  <conditionalFormatting sqref="J9">
    <cfRule type="cellIs" dxfId="667" priority="315" stopIfTrue="1" operator="between">
      <formula>0</formula>
      <formula>0.125</formula>
    </cfRule>
  </conditionalFormatting>
  <conditionalFormatting sqref="K9">
    <cfRule type="cellIs" dxfId="666" priority="314" operator="between">
      <formula>0.1251</formula>
      <formula>0.19</formula>
    </cfRule>
  </conditionalFormatting>
  <conditionalFormatting sqref="L9">
    <cfRule type="cellIs" dxfId="665" priority="313" operator="between">
      <formula>0.191</formula>
      <formula>0.24</formula>
    </cfRule>
  </conditionalFormatting>
  <conditionalFormatting sqref="M9">
    <cfRule type="cellIs" dxfId="664" priority="312" operator="between">
      <formula>0.2401</formula>
      <formula>0.26</formula>
    </cfRule>
  </conditionalFormatting>
  <conditionalFormatting sqref="N9">
    <cfRule type="cellIs" dxfId="663" priority="311" operator="greaterThan">
      <formula>0.2601</formula>
    </cfRule>
  </conditionalFormatting>
  <conditionalFormatting sqref="J10">
    <cfRule type="cellIs" dxfId="662" priority="310" stopIfTrue="1" operator="between">
      <formula>0</formula>
      <formula>0.125</formula>
    </cfRule>
  </conditionalFormatting>
  <conditionalFormatting sqref="K10">
    <cfRule type="cellIs" dxfId="661" priority="309" operator="between">
      <formula>0.1251</formula>
      <formula>0.19</formula>
    </cfRule>
  </conditionalFormatting>
  <conditionalFormatting sqref="L10">
    <cfRule type="cellIs" dxfId="660" priority="308" operator="between">
      <formula>0.191</formula>
      <formula>0.24</formula>
    </cfRule>
  </conditionalFormatting>
  <conditionalFormatting sqref="M10">
    <cfRule type="cellIs" dxfId="659" priority="307" operator="between">
      <formula>0.2401</formula>
      <formula>0.26</formula>
    </cfRule>
  </conditionalFormatting>
  <conditionalFormatting sqref="N10">
    <cfRule type="cellIs" dxfId="658" priority="306" operator="greaterThan">
      <formula>0.2601</formula>
    </cfRule>
  </conditionalFormatting>
  <conditionalFormatting sqref="J11">
    <cfRule type="cellIs" dxfId="657" priority="305" stopIfTrue="1" operator="between">
      <formula>0</formula>
      <formula>0.125</formula>
    </cfRule>
  </conditionalFormatting>
  <conditionalFormatting sqref="K11">
    <cfRule type="cellIs" dxfId="656" priority="304" operator="between">
      <formula>0.1251</formula>
      <formula>0.19</formula>
    </cfRule>
  </conditionalFormatting>
  <conditionalFormatting sqref="L11">
    <cfRule type="cellIs" dxfId="655" priority="303" operator="between">
      <formula>0.191</formula>
      <formula>0.24</formula>
    </cfRule>
  </conditionalFormatting>
  <conditionalFormatting sqref="M11">
    <cfRule type="cellIs" dxfId="654" priority="302" operator="between">
      <formula>0.2401</formula>
      <formula>0.26</formula>
    </cfRule>
  </conditionalFormatting>
  <conditionalFormatting sqref="N11">
    <cfRule type="cellIs" dxfId="653" priority="301" operator="greaterThan">
      <formula>0.2601</formula>
    </cfRule>
  </conditionalFormatting>
  <conditionalFormatting sqref="J12">
    <cfRule type="cellIs" dxfId="652" priority="300" stopIfTrue="1" operator="between">
      <formula>0</formula>
      <formula>0.125</formula>
    </cfRule>
  </conditionalFormatting>
  <conditionalFormatting sqref="K12">
    <cfRule type="cellIs" dxfId="651" priority="299" operator="between">
      <formula>0.1251</formula>
      <formula>0.19</formula>
    </cfRule>
  </conditionalFormatting>
  <conditionalFormatting sqref="L12">
    <cfRule type="cellIs" dxfId="650" priority="298" operator="between">
      <formula>0.191</formula>
      <formula>0.24</formula>
    </cfRule>
  </conditionalFormatting>
  <conditionalFormatting sqref="M12">
    <cfRule type="cellIs" dxfId="649" priority="297" operator="between">
      <formula>0.2401</formula>
      <formula>0.26</formula>
    </cfRule>
  </conditionalFormatting>
  <conditionalFormatting sqref="N12">
    <cfRule type="cellIs" dxfId="648" priority="296" operator="greaterThan">
      <formula>0.2601</formula>
    </cfRule>
  </conditionalFormatting>
  <conditionalFormatting sqref="J13">
    <cfRule type="cellIs" dxfId="647" priority="295" stopIfTrue="1" operator="between">
      <formula>0</formula>
      <formula>0.125</formula>
    </cfRule>
  </conditionalFormatting>
  <conditionalFormatting sqref="K13">
    <cfRule type="cellIs" dxfId="646" priority="294" operator="between">
      <formula>0.1251</formula>
      <formula>0.19</formula>
    </cfRule>
  </conditionalFormatting>
  <conditionalFormatting sqref="L13">
    <cfRule type="cellIs" dxfId="645" priority="293" operator="between">
      <formula>0.191</formula>
      <formula>0.24</formula>
    </cfRule>
  </conditionalFormatting>
  <conditionalFormatting sqref="M13">
    <cfRule type="cellIs" dxfId="644" priority="292" operator="between">
      <formula>0.2401</formula>
      <formula>0.26</formula>
    </cfRule>
  </conditionalFormatting>
  <conditionalFormatting sqref="N13">
    <cfRule type="cellIs" dxfId="643" priority="291" operator="greaterThan">
      <formula>0.2601</formula>
    </cfRule>
  </conditionalFormatting>
  <conditionalFormatting sqref="J14">
    <cfRule type="cellIs" dxfId="642" priority="290" stopIfTrue="1" operator="between">
      <formula>0</formula>
      <formula>0.125</formula>
    </cfRule>
  </conditionalFormatting>
  <conditionalFormatting sqref="K14">
    <cfRule type="cellIs" dxfId="641" priority="289" operator="between">
      <formula>0.1251</formula>
      <formula>0.19</formula>
    </cfRule>
  </conditionalFormatting>
  <conditionalFormatting sqref="L14">
    <cfRule type="cellIs" dxfId="640" priority="288" operator="between">
      <formula>0.191</formula>
      <formula>0.24</formula>
    </cfRule>
  </conditionalFormatting>
  <conditionalFormatting sqref="M14">
    <cfRule type="cellIs" dxfId="639" priority="287" operator="between">
      <formula>0.2401</formula>
      <formula>0.26</formula>
    </cfRule>
  </conditionalFormatting>
  <conditionalFormatting sqref="N14">
    <cfRule type="cellIs" dxfId="638" priority="286" operator="greaterThan">
      <formula>0.2601</formula>
    </cfRule>
  </conditionalFormatting>
  <conditionalFormatting sqref="Q6">
    <cfRule type="cellIs" dxfId="637" priority="285" stopIfTrue="1" operator="between">
      <formula>0</formula>
      <formula>0.5</formula>
    </cfRule>
  </conditionalFormatting>
  <conditionalFormatting sqref="R6">
    <cfRule type="cellIs" dxfId="636" priority="284" operator="between">
      <formula>0.51</formula>
      <formula>0.75</formula>
    </cfRule>
  </conditionalFormatting>
  <conditionalFormatting sqref="S6">
    <cfRule type="cellIs" dxfId="635" priority="283" operator="between">
      <formula>0.76</formula>
      <formula>0.95</formula>
    </cfRule>
  </conditionalFormatting>
  <conditionalFormatting sqref="T6">
    <cfRule type="cellIs" dxfId="634" priority="282" operator="between">
      <formula>0.95</formula>
      <formula>1</formula>
    </cfRule>
  </conditionalFormatting>
  <conditionalFormatting sqref="U6">
    <cfRule type="cellIs" dxfId="633" priority="281" operator="greaterThan">
      <formula>1</formula>
    </cfRule>
  </conditionalFormatting>
  <conditionalFormatting sqref="Q7">
    <cfRule type="cellIs" dxfId="632" priority="280" stopIfTrue="1" operator="between">
      <formula>0</formula>
      <formula>0.5</formula>
    </cfRule>
  </conditionalFormatting>
  <conditionalFormatting sqref="R7">
    <cfRule type="cellIs" dxfId="631" priority="279" operator="between">
      <formula>0.51</formula>
      <formula>0.75</formula>
    </cfRule>
  </conditionalFormatting>
  <conditionalFormatting sqref="S7">
    <cfRule type="cellIs" dxfId="630" priority="278" operator="between">
      <formula>0.76</formula>
      <formula>0.95</formula>
    </cfRule>
  </conditionalFormatting>
  <conditionalFormatting sqref="T7">
    <cfRule type="cellIs" dxfId="629" priority="277" operator="between">
      <formula>0.95</formula>
      <formula>1</formula>
    </cfRule>
  </conditionalFormatting>
  <conditionalFormatting sqref="U7">
    <cfRule type="cellIs" dxfId="628" priority="276" operator="greaterThan">
      <formula>1</formula>
    </cfRule>
  </conditionalFormatting>
  <conditionalFormatting sqref="Q8">
    <cfRule type="cellIs" dxfId="627" priority="275" stopIfTrue="1" operator="between">
      <formula>0</formula>
      <formula>0.5</formula>
    </cfRule>
  </conditionalFormatting>
  <conditionalFormatting sqref="R8">
    <cfRule type="cellIs" dxfId="626" priority="274" operator="between">
      <formula>0.51</formula>
      <formula>0.75</formula>
    </cfRule>
  </conditionalFormatting>
  <conditionalFormatting sqref="S8">
    <cfRule type="cellIs" dxfId="625" priority="273" operator="between">
      <formula>0.76</formula>
      <formula>0.95</formula>
    </cfRule>
  </conditionalFormatting>
  <conditionalFormatting sqref="T8">
    <cfRule type="cellIs" dxfId="624" priority="272" operator="between">
      <formula>0.95</formula>
      <formula>1</formula>
    </cfRule>
  </conditionalFormatting>
  <conditionalFormatting sqref="U8">
    <cfRule type="cellIs" dxfId="623" priority="271" operator="greaterThan">
      <formula>1</formula>
    </cfRule>
  </conditionalFormatting>
  <conditionalFormatting sqref="Q9">
    <cfRule type="cellIs" dxfId="622" priority="270" stopIfTrue="1" operator="between">
      <formula>0</formula>
      <formula>0.5</formula>
    </cfRule>
  </conditionalFormatting>
  <conditionalFormatting sqref="R9">
    <cfRule type="cellIs" dxfId="621" priority="269" operator="between">
      <formula>0.51</formula>
      <formula>0.75</formula>
    </cfRule>
  </conditionalFormatting>
  <conditionalFormatting sqref="S9">
    <cfRule type="cellIs" dxfId="620" priority="268" operator="between">
      <formula>0.76</formula>
      <formula>0.95</formula>
    </cfRule>
  </conditionalFormatting>
  <conditionalFormatting sqref="T9">
    <cfRule type="cellIs" dxfId="619" priority="267" operator="between">
      <formula>0.95</formula>
      <formula>1</formula>
    </cfRule>
  </conditionalFormatting>
  <conditionalFormatting sqref="U9">
    <cfRule type="cellIs" dxfId="618" priority="266" operator="greaterThan">
      <formula>1</formula>
    </cfRule>
  </conditionalFormatting>
  <conditionalFormatting sqref="Q10">
    <cfRule type="cellIs" dxfId="617" priority="265" stopIfTrue="1" operator="between">
      <formula>0</formula>
      <formula>0.5</formula>
    </cfRule>
  </conditionalFormatting>
  <conditionalFormatting sqref="R10">
    <cfRule type="cellIs" dxfId="616" priority="264" operator="between">
      <formula>0.51</formula>
      <formula>0.75</formula>
    </cfRule>
  </conditionalFormatting>
  <conditionalFormatting sqref="S10">
    <cfRule type="cellIs" dxfId="615" priority="263" operator="between">
      <formula>0.76</formula>
      <formula>0.95</formula>
    </cfRule>
  </conditionalFormatting>
  <conditionalFormatting sqref="T10">
    <cfRule type="cellIs" dxfId="614" priority="262" operator="between">
      <formula>0.95</formula>
      <formula>1</formula>
    </cfRule>
  </conditionalFormatting>
  <conditionalFormatting sqref="U10">
    <cfRule type="cellIs" dxfId="613" priority="261" operator="greaterThan">
      <formula>1</formula>
    </cfRule>
  </conditionalFormatting>
  <conditionalFormatting sqref="Q11">
    <cfRule type="cellIs" dxfId="612" priority="260" stopIfTrue="1" operator="between">
      <formula>0</formula>
      <formula>0.5</formula>
    </cfRule>
  </conditionalFormatting>
  <conditionalFormatting sqref="R11">
    <cfRule type="cellIs" dxfId="611" priority="259" operator="between">
      <formula>0.51</formula>
      <formula>0.75</formula>
    </cfRule>
  </conditionalFormatting>
  <conditionalFormatting sqref="S11">
    <cfRule type="cellIs" dxfId="610" priority="258" operator="between">
      <formula>0.76</formula>
      <formula>0.95</formula>
    </cfRule>
  </conditionalFormatting>
  <conditionalFormatting sqref="T11">
    <cfRule type="cellIs" dxfId="609" priority="257" operator="between">
      <formula>0.95</formula>
      <formula>1</formula>
    </cfRule>
  </conditionalFormatting>
  <conditionalFormatting sqref="U11">
    <cfRule type="cellIs" dxfId="608" priority="256" operator="greaterThan">
      <formula>1</formula>
    </cfRule>
  </conditionalFormatting>
  <conditionalFormatting sqref="Q12">
    <cfRule type="cellIs" dxfId="607" priority="255" stopIfTrue="1" operator="between">
      <formula>0</formula>
      <formula>0.5</formula>
    </cfRule>
  </conditionalFormatting>
  <conditionalFormatting sqref="R12">
    <cfRule type="cellIs" dxfId="606" priority="254" operator="between">
      <formula>0.51</formula>
      <formula>0.75</formula>
    </cfRule>
  </conditionalFormatting>
  <conditionalFormatting sqref="S12">
    <cfRule type="cellIs" dxfId="605" priority="253" operator="between">
      <formula>0.76</formula>
      <formula>0.95</formula>
    </cfRule>
  </conditionalFormatting>
  <conditionalFormatting sqref="T12">
    <cfRule type="cellIs" dxfId="604" priority="252" operator="between">
      <formula>0.95</formula>
      <formula>1</formula>
    </cfRule>
  </conditionalFormatting>
  <conditionalFormatting sqref="U12">
    <cfRule type="cellIs" dxfId="603" priority="251" operator="greaterThan">
      <formula>1</formula>
    </cfRule>
  </conditionalFormatting>
  <conditionalFormatting sqref="Q13">
    <cfRule type="cellIs" dxfId="602" priority="250" stopIfTrue="1" operator="between">
      <formula>0</formula>
      <formula>0.5</formula>
    </cfRule>
  </conditionalFormatting>
  <conditionalFormatting sqref="R13">
    <cfRule type="cellIs" dxfId="601" priority="249" operator="between">
      <formula>0.51</formula>
      <formula>0.75</formula>
    </cfRule>
  </conditionalFormatting>
  <conditionalFormatting sqref="S13">
    <cfRule type="cellIs" dxfId="600" priority="248" operator="between">
      <formula>0.76</formula>
      <formula>0.95</formula>
    </cfRule>
  </conditionalFormatting>
  <conditionalFormatting sqref="T13">
    <cfRule type="cellIs" dxfId="599" priority="247" operator="between">
      <formula>0.95</formula>
      <formula>1</formula>
    </cfRule>
  </conditionalFormatting>
  <conditionalFormatting sqref="U13">
    <cfRule type="cellIs" dxfId="598" priority="246" operator="greaterThan">
      <formula>1</formula>
    </cfRule>
  </conditionalFormatting>
  <conditionalFormatting sqref="Q14">
    <cfRule type="cellIs" dxfId="597" priority="245" stopIfTrue="1" operator="between">
      <formula>0</formula>
      <formula>0.5</formula>
    </cfRule>
  </conditionalFormatting>
  <conditionalFormatting sqref="R14">
    <cfRule type="cellIs" dxfId="596" priority="244" operator="between">
      <formula>0.51</formula>
      <formula>0.75</formula>
    </cfRule>
  </conditionalFormatting>
  <conditionalFormatting sqref="S14">
    <cfRule type="cellIs" dxfId="595" priority="243" operator="between">
      <formula>0.76</formula>
      <formula>0.95</formula>
    </cfRule>
  </conditionalFormatting>
  <conditionalFormatting sqref="T14">
    <cfRule type="cellIs" dxfId="594" priority="242" operator="between">
      <formula>0.95</formula>
      <formula>1</formula>
    </cfRule>
  </conditionalFormatting>
  <conditionalFormatting sqref="U14">
    <cfRule type="cellIs" dxfId="593" priority="241" operator="greaterThan">
      <formula>1</formula>
    </cfRule>
  </conditionalFormatting>
  <conditionalFormatting sqref="W7">
    <cfRule type="cellIs" dxfId="592" priority="235" stopIfTrue="1" operator="between">
      <formula>0</formula>
      <formula>0.255</formula>
    </cfRule>
  </conditionalFormatting>
  <conditionalFormatting sqref="X7">
    <cfRule type="cellIs" dxfId="591" priority="234" operator="between">
      <formula>0.2551</formula>
      <formula>0.375</formula>
    </cfRule>
  </conditionalFormatting>
  <conditionalFormatting sqref="Y7">
    <cfRule type="cellIs" dxfId="590" priority="233" operator="between">
      <formula>0.3751</formula>
      <formula>0.475</formula>
    </cfRule>
  </conditionalFormatting>
  <conditionalFormatting sqref="Z7">
    <cfRule type="cellIs" dxfId="589" priority="232" operator="between">
      <formula>0.48</formula>
      <formula>0.51</formula>
    </cfRule>
  </conditionalFormatting>
  <conditionalFormatting sqref="AA7">
    <cfRule type="cellIs" dxfId="588" priority="231" operator="greaterThan">
      <formula>0.505</formula>
    </cfRule>
  </conditionalFormatting>
  <conditionalFormatting sqref="W9">
    <cfRule type="cellIs" dxfId="587" priority="225" stopIfTrue="1" operator="between">
      <formula>0</formula>
      <formula>0.255</formula>
    </cfRule>
  </conditionalFormatting>
  <conditionalFormatting sqref="X9">
    <cfRule type="cellIs" dxfId="586" priority="224" operator="between">
      <formula>0.2551</formula>
      <formula>0.375</formula>
    </cfRule>
  </conditionalFormatting>
  <conditionalFormatting sqref="Y9">
    <cfRule type="cellIs" dxfId="585" priority="223" operator="between">
      <formula>0.38</formula>
      <formula>0.475</formula>
    </cfRule>
  </conditionalFormatting>
  <conditionalFormatting sqref="Z9">
    <cfRule type="cellIs" dxfId="584" priority="222" operator="between">
      <formula>0.48</formula>
      <formula>0.51</formula>
    </cfRule>
  </conditionalFormatting>
  <conditionalFormatting sqref="AA9">
    <cfRule type="cellIs" dxfId="583" priority="221" operator="greaterThan">
      <formula>0.505</formula>
    </cfRule>
  </conditionalFormatting>
  <conditionalFormatting sqref="W10">
    <cfRule type="cellIs" dxfId="582" priority="220" stopIfTrue="1" operator="between">
      <formula>0</formula>
      <formula>0.255</formula>
    </cfRule>
  </conditionalFormatting>
  <conditionalFormatting sqref="X10">
    <cfRule type="cellIs" dxfId="581" priority="219" operator="between">
      <formula>0.2551</formula>
      <formula>0.375</formula>
    </cfRule>
  </conditionalFormatting>
  <conditionalFormatting sqref="Y10">
    <cfRule type="cellIs" dxfId="580" priority="218" operator="between">
      <formula>0.38</formula>
      <formula>0.475</formula>
    </cfRule>
  </conditionalFormatting>
  <conditionalFormatting sqref="Z10">
    <cfRule type="cellIs" dxfId="579" priority="217" operator="between">
      <formula>0.48</formula>
      <formula>0.51</formula>
    </cfRule>
  </conditionalFormatting>
  <conditionalFormatting sqref="AA10">
    <cfRule type="cellIs" dxfId="578" priority="216" operator="greaterThan">
      <formula>0.505</formula>
    </cfRule>
  </conditionalFormatting>
  <conditionalFormatting sqref="W11">
    <cfRule type="cellIs" dxfId="577" priority="215" stopIfTrue="1" operator="between">
      <formula>0</formula>
      <formula>0.255</formula>
    </cfRule>
  </conditionalFormatting>
  <conditionalFormatting sqref="X11">
    <cfRule type="cellIs" dxfId="576" priority="214" operator="between">
      <formula>0.2551</formula>
      <formula>0.375</formula>
    </cfRule>
  </conditionalFormatting>
  <conditionalFormatting sqref="Y11">
    <cfRule type="cellIs" dxfId="575" priority="213" operator="between">
      <formula>0.38</formula>
      <formula>0.475</formula>
    </cfRule>
  </conditionalFormatting>
  <conditionalFormatting sqref="Z11">
    <cfRule type="cellIs" dxfId="574" priority="212" operator="between">
      <formula>0.48</formula>
      <formula>0.51</formula>
    </cfRule>
  </conditionalFormatting>
  <conditionalFormatting sqref="AA11">
    <cfRule type="cellIs" dxfId="573" priority="211" operator="greaterThan">
      <formula>0.505</formula>
    </cfRule>
  </conditionalFormatting>
  <conditionalFormatting sqref="W12">
    <cfRule type="cellIs" dxfId="572" priority="210" stopIfTrue="1" operator="between">
      <formula>0</formula>
      <formula>0.255</formula>
    </cfRule>
  </conditionalFormatting>
  <conditionalFormatting sqref="X12">
    <cfRule type="cellIs" dxfId="571" priority="209" operator="between">
      <formula>0.2551</formula>
      <formula>0.375</formula>
    </cfRule>
  </conditionalFormatting>
  <conditionalFormatting sqref="Y12">
    <cfRule type="cellIs" dxfId="570" priority="208" operator="between">
      <formula>0.38</formula>
      <formula>0.475</formula>
    </cfRule>
  </conditionalFormatting>
  <conditionalFormatting sqref="Z12">
    <cfRule type="cellIs" dxfId="569" priority="207" operator="between">
      <formula>0.48</formula>
      <formula>0.51</formula>
    </cfRule>
  </conditionalFormatting>
  <conditionalFormatting sqref="AA12">
    <cfRule type="cellIs" dxfId="568" priority="206" operator="greaterThan">
      <formula>0.505</formula>
    </cfRule>
  </conditionalFormatting>
  <conditionalFormatting sqref="W13">
    <cfRule type="cellIs" dxfId="567" priority="205" stopIfTrue="1" operator="between">
      <formula>0</formula>
      <formula>0.255</formula>
    </cfRule>
  </conditionalFormatting>
  <conditionalFormatting sqref="X13">
    <cfRule type="cellIs" dxfId="566" priority="204" operator="between">
      <formula>0.2551</formula>
      <formula>0.375</formula>
    </cfRule>
  </conditionalFormatting>
  <conditionalFormatting sqref="Y13">
    <cfRule type="cellIs" dxfId="565" priority="203" operator="between">
      <formula>0.38</formula>
      <formula>0.475</formula>
    </cfRule>
  </conditionalFormatting>
  <conditionalFormatting sqref="Z13">
    <cfRule type="cellIs" dxfId="564" priority="202" operator="between">
      <formula>0.48</formula>
      <formula>0.51</formula>
    </cfRule>
  </conditionalFormatting>
  <conditionalFormatting sqref="AA13">
    <cfRule type="cellIs" dxfId="563" priority="201" operator="greaterThan">
      <formula>0.505</formula>
    </cfRule>
  </conditionalFormatting>
  <conditionalFormatting sqref="W14">
    <cfRule type="cellIs" dxfId="562" priority="200" stopIfTrue="1" operator="between">
      <formula>0</formula>
      <formula>0.255</formula>
    </cfRule>
  </conditionalFormatting>
  <conditionalFormatting sqref="X14">
    <cfRule type="cellIs" dxfId="561" priority="199" operator="between">
      <formula>0.2551</formula>
      <formula>0.375</formula>
    </cfRule>
  </conditionalFormatting>
  <conditionalFormatting sqref="Y14">
    <cfRule type="cellIs" dxfId="560" priority="198" operator="between">
      <formula>0.38</formula>
      <formula>0.475</formula>
    </cfRule>
  </conditionalFormatting>
  <conditionalFormatting sqref="Z14">
    <cfRule type="cellIs" dxfId="559" priority="197" operator="between">
      <formula>0.48</formula>
      <formula>0.51</formula>
    </cfRule>
  </conditionalFormatting>
  <conditionalFormatting sqref="AA14">
    <cfRule type="cellIs" dxfId="558" priority="196" operator="greaterThan">
      <formula>0.505</formula>
    </cfRule>
  </conditionalFormatting>
  <conditionalFormatting sqref="AD6">
    <cfRule type="cellIs" dxfId="557" priority="195" stopIfTrue="1" operator="between">
      <formula>0</formula>
      <formula>0.5</formula>
    </cfRule>
  </conditionalFormatting>
  <conditionalFormatting sqref="AE6">
    <cfRule type="cellIs" dxfId="556" priority="194" operator="between">
      <formula>0.51</formula>
      <formula>0.75</formula>
    </cfRule>
  </conditionalFormatting>
  <conditionalFormatting sqref="AF6">
    <cfRule type="cellIs" dxfId="555" priority="193" operator="between">
      <formula>0.76</formula>
      <formula>0.95</formula>
    </cfRule>
  </conditionalFormatting>
  <conditionalFormatting sqref="AG6">
    <cfRule type="cellIs" dxfId="554" priority="192" operator="between">
      <formula>0.95</formula>
      <formula>1</formula>
    </cfRule>
  </conditionalFormatting>
  <conditionalFormatting sqref="AH6">
    <cfRule type="cellIs" dxfId="553" priority="191" operator="greaterThan">
      <formula>1</formula>
    </cfRule>
  </conditionalFormatting>
  <conditionalFormatting sqref="AD7">
    <cfRule type="cellIs" dxfId="552" priority="190" stopIfTrue="1" operator="between">
      <formula>0</formula>
      <formula>0.5</formula>
    </cfRule>
  </conditionalFormatting>
  <conditionalFormatting sqref="AE7">
    <cfRule type="cellIs" dxfId="551" priority="189" operator="between">
      <formula>0.51</formula>
      <formula>0.75</formula>
    </cfRule>
  </conditionalFormatting>
  <conditionalFormatting sqref="AF7">
    <cfRule type="cellIs" dxfId="550" priority="188" operator="between">
      <formula>0.76</formula>
      <formula>0.95</formula>
    </cfRule>
  </conditionalFormatting>
  <conditionalFormatting sqref="AG7">
    <cfRule type="cellIs" dxfId="549" priority="187" operator="between">
      <formula>0.95</formula>
      <formula>1</formula>
    </cfRule>
  </conditionalFormatting>
  <conditionalFormatting sqref="AH7">
    <cfRule type="cellIs" dxfId="548" priority="186" operator="greaterThan">
      <formula>1</formula>
    </cfRule>
  </conditionalFormatting>
  <conditionalFormatting sqref="AD8">
    <cfRule type="cellIs" dxfId="547" priority="185" stopIfTrue="1" operator="between">
      <formula>0</formula>
      <formula>0.5</formula>
    </cfRule>
  </conditionalFormatting>
  <conditionalFormatting sqref="AE8">
    <cfRule type="cellIs" dxfId="546" priority="184" operator="between">
      <formula>0.51</formula>
      <formula>0.75</formula>
    </cfRule>
  </conditionalFormatting>
  <conditionalFormatting sqref="AF8">
    <cfRule type="cellIs" dxfId="545" priority="183" operator="between">
      <formula>0.76</formula>
      <formula>0.95</formula>
    </cfRule>
  </conditionalFormatting>
  <conditionalFormatting sqref="AG8">
    <cfRule type="cellIs" dxfId="544" priority="182" operator="between">
      <formula>0.95</formula>
      <formula>1</formula>
    </cfRule>
  </conditionalFormatting>
  <conditionalFormatting sqref="AH8">
    <cfRule type="cellIs" dxfId="543" priority="181" operator="greaterThan">
      <formula>1</formula>
    </cfRule>
  </conditionalFormatting>
  <conditionalFormatting sqref="AD9">
    <cfRule type="cellIs" dxfId="542" priority="180" stopIfTrue="1" operator="between">
      <formula>0</formula>
      <formula>0.5</formula>
    </cfRule>
  </conditionalFormatting>
  <conditionalFormatting sqref="AE9">
    <cfRule type="cellIs" dxfId="541" priority="179" operator="between">
      <formula>0.51</formula>
      <formula>0.75</formula>
    </cfRule>
  </conditionalFormatting>
  <conditionalFormatting sqref="AF9">
    <cfRule type="cellIs" dxfId="540" priority="178" operator="between">
      <formula>0.76</formula>
      <formula>0.95</formula>
    </cfRule>
  </conditionalFormatting>
  <conditionalFormatting sqref="AG9">
    <cfRule type="cellIs" dxfId="539" priority="177" operator="between">
      <formula>0.95</formula>
      <formula>1</formula>
    </cfRule>
  </conditionalFormatting>
  <conditionalFormatting sqref="AH9">
    <cfRule type="cellIs" dxfId="538" priority="176" operator="greaterThan">
      <formula>1</formula>
    </cfRule>
  </conditionalFormatting>
  <conditionalFormatting sqref="AD10">
    <cfRule type="cellIs" dxfId="537" priority="175" stopIfTrue="1" operator="between">
      <formula>0</formula>
      <formula>0.5</formula>
    </cfRule>
  </conditionalFormatting>
  <conditionalFormatting sqref="AE10">
    <cfRule type="cellIs" dxfId="536" priority="174" operator="between">
      <formula>0.51</formula>
      <formula>0.75</formula>
    </cfRule>
  </conditionalFormatting>
  <conditionalFormatting sqref="AF10">
    <cfRule type="cellIs" dxfId="535" priority="173" operator="between">
      <formula>0.76</formula>
      <formula>0.95</formula>
    </cfRule>
  </conditionalFormatting>
  <conditionalFormatting sqref="AG10">
    <cfRule type="cellIs" dxfId="534" priority="172" operator="between">
      <formula>0.95</formula>
      <formula>1</formula>
    </cfRule>
  </conditionalFormatting>
  <conditionalFormatting sqref="AH10">
    <cfRule type="cellIs" dxfId="533" priority="171" operator="greaterThan">
      <formula>1</formula>
    </cfRule>
  </conditionalFormatting>
  <conditionalFormatting sqref="AD11">
    <cfRule type="cellIs" dxfId="532" priority="170" stopIfTrue="1" operator="between">
      <formula>0</formula>
      <formula>0.5</formula>
    </cfRule>
  </conditionalFormatting>
  <conditionalFormatting sqref="AE11">
    <cfRule type="cellIs" dxfId="531" priority="169" operator="between">
      <formula>0.51</formula>
      <formula>0.75</formula>
    </cfRule>
  </conditionalFormatting>
  <conditionalFormatting sqref="AF11">
    <cfRule type="cellIs" dxfId="530" priority="168" operator="between">
      <formula>0.76</formula>
      <formula>0.95</formula>
    </cfRule>
  </conditionalFormatting>
  <conditionalFormatting sqref="AG11">
    <cfRule type="cellIs" dxfId="529" priority="167" operator="between">
      <formula>0.95</formula>
      <formula>1</formula>
    </cfRule>
  </conditionalFormatting>
  <conditionalFormatting sqref="AH11">
    <cfRule type="cellIs" dxfId="528" priority="166" operator="greaterThan">
      <formula>1</formula>
    </cfRule>
  </conditionalFormatting>
  <conditionalFormatting sqref="AD12">
    <cfRule type="cellIs" dxfId="527" priority="165" stopIfTrue="1" operator="between">
      <formula>0</formula>
      <formula>0.5</formula>
    </cfRule>
  </conditionalFormatting>
  <conditionalFormatting sqref="AE12">
    <cfRule type="cellIs" dxfId="526" priority="164" operator="between">
      <formula>0.51</formula>
      <formula>0.75</formula>
    </cfRule>
  </conditionalFormatting>
  <conditionalFormatting sqref="AF12">
    <cfRule type="cellIs" dxfId="525" priority="163" operator="between">
      <formula>0.76</formula>
      <formula>0.95</formula>
    </cfRule>
  </conditionalFormatting>
  <conditionalFormatting sqref="AG12">
    <cfRule type="cellIs" dxfId="524" priority="162" operator="between">
      <formula>0.95</formula>
      <formula>1</formula>
    </cfRule>
  </conditionalFormatting>
  <conditionalFormatting sqref="AH12">
    <cfRule type="cellIs" dxfId="523" priority="161" operator="greaterThan">
      <formula>1</formula>
    </cfRule>
  </conditionalFormatting>
  <conditionalFormatting sqref="AD13">
    <cfRule type="cellIs" dxfId="522" priority="160" stopIfTrue="1" operator="between">
      <formula>0</formula>
      <formula>0.5</formula>
    </cfRule>
  </conditionalFormatting>
  <conditionalFormatting sqref="AE13">
    <cfRule type="cellIs" dxfId="521" priority="159" operator="between">
      <formula>0.51</formula>
      <formula>0.75</formula>
    </cfRule>
  </conditionalFormatting>
  <conditionalFormatting sqref="AF13">
    <cfRule type="cellIs" dxfId="520" priority="158" operator="between">
      <formula>0.76</formula>
      <formula>0.95</formula>
    </cfRule>
  </conditionalFormatting>
  <conditionalFormatting sqref="AG13">
    <cfRule type="cellIs" dxfId="519" priority="157" operator="between">
      <formula>0.95</formula>
      <formula>1</formula>
    </cfRule>
  </conditionalFormatting>
  <conditionalFormatting sqref="AH13">
    <cfRule type="cellIs" dxfId="518" priority="156" operator="greaterThan">
      <formula>1</formula>
    </cfRule>
  </conditionalFormatting>
  <conditionalFormatting sqref="AD14">
    <cfRule type="cellIs" dxfId="517" priority="155" stopIfTrue="1" operator="between">
      <formula>0</formula>
      <formula>0.5</formula>
    </cfRule>
  </conditionalFormatting>
  <conditionalFormatting sqref="AE14">
    <cfRule type="cellIs" dxfId="516" priority="154" operator="between">
      <formula>0.51</formula>
      <formula>0.75</formula>
    </cfRule>
  </conditionalFormatting>
  <conditionalFormatting sqref="AF14">
    <cfRule type="cellIs" dxfId="515" priority="153" operator="between">
      <formula>0.76</formula>
      <formula>0.95</formula>
    </cfRule>
  </conditionalFormatting>
  <conditionalFormatting sqref="AG14">
    <cfRule type="cellIs" dxfId="514" priority="152" operator="between">
      <formula>0.95</formula>
      <formula>1</formula>
    </cfRule>
  </conditionalFormatting>
  <conditionalFormatting sqref="AH14">
    <cfRule type="cellIs" dxfId="513" priority="151" operator="greaterThan">
      <formula>1</formula>
    </cfRule>
  </conditionalFormatting>
  <conditionalFormatting sqref="AJ6">
    <cfRule type="cellIs" dxfId="512" priority="150" stopIfTrue="1" operator="between">
      <formula>0</formula>
      <formula>0.375</formula>
    </cfRule>
  </conditionalFormatting>
  <conditionalFormatting sqref="AK6">
    <cfRule type="cellIs" dxfId="511" priority="149" operator="between">
      <formula>0.3751</formula>
      <formula>0.5625</formula>
    </cfRule>
  </conditionalFormatting>
  <conditionalFormatting sqref="AL6">
    <cfRule type="cellIs" dxfId="510" priority="148" operator="between">
      <formula>0.563</formula>
      <formula>0.7125</formula>
    </cfRule>
  </conditionalFormatting>
  <conditionalFormatting sqref="AM6">
    <cfRule type="cellIs" dxfId="509" priority="147" operator="between">
      <formula>0.713</formula>
      <formula>0.75</formula>
    </cfRule>
  </conditionalFormatting>
  <conditionalFormatting sqref="AN6">
    <cfRule type="cellIs" dxfId="508" priority="146" operator="greaterThan">
      <formula>0.755</formula>
    </cfRule>
  </conditionalFormatting>
  <conditionalFormatting sqref="AJ7">
    <cfRule type="cellIs" dxfId="507" priority="145" stopIfTrue="1" operator="between">
      <formula>0</formula>
      <formula>0.375</formula>
    </cfRule>
  </conditionalFormatting>
  <conditionalFormatting sqref="AK7">
    <cfRule type="cellIs" dxfId="506" priority="144" operator="between">
      <formula>0.3751</formula>
      <formula>0.5625</formula>
    </cfRule>
  </conditionalFormatting>
  <conditionalFormatting sqref="AL7">
    <cfRule type="cellIs" dxfId="505" priority="143" operator="between">
      <formula>0.563</formula>
      <formula>0.7125</formula>
    </cfRule>
  </conditionalFormatting>
  <conditionalFormatting sqref="AM7">
    <cfRule type="cellIs" dxfId="504" priority="142" operator="between">
      <formula>0.713</formula>
      <formula>0.75</formula>
    </cfRule>
  </conditionalFormatting>
  <conditionalFormatting sqref="AN7">
    <cfRule type="cellIs" dxfId="503" priority="141" operator="greaterThan">
      <formula>0.755</formula>
    </cfRule>
  </conditionalFormatting>
  <conditionalFormatting sqref="AJ8">
    <cfRule type="cellIs" dxfId="502" priority="140" stopIfTrue="1" operator="between">
      <formula>0</formula>
      <formula>0.375</formula>
    </cfRule>
  </conditionalFormatting>
  <conditionalFormatting sqref="AK8">
    <cfRule type="cellIs" dxfId="501" priority="139" operator="between">
      <formula>0.3751</formula>
      <formula>0.5625</formula>
    </cfRule>
  </conditionalFormatting>
  <conditionalFormatting sqref="AL8">
    <cfRule type="cellIs" dxfId="500" priority="138" operator="between">
      <formula>0.563</formula>
      <formula>0.7125</formula>
    </cfRule>
  </conditionalFormatting>
  <conditionalFormatting sqref="AM8">
    <cfRule type="cellIs" dxfId="499" priority="137" operator="between">
      <formula>0.713</formula>
      <formula>0.75</formula>
    </cfRule>
  </conditionalFormatting>
  <conditionalFormatting sqref="AN8">
    <cfRule type="cellIs" dxfId="498" priority="136" operator="greaterThan">
      <formula>0.755</formula>
    </cfRule>
  </conditionalFormatting>
  <conditionalFormatting sqref="AJ9">
    <cfRule type="cellIs" dxfId="497" priority="135" stopIfTrue="1" operator="between">
      <formula>0</formula>
      <formula>0.375</formula>
    </cfRule>
  </conditionalFormatting>
  <conditionalFormatting sqref="AK9">
    <cfRule type="cellIs" dxfId="496" priority="134" operator="between">
      <formula>0.3751</formula>
      <formula>0.5625</formula>
    </cfRule>
  </conditionalFormatting>
  <conditionalFormatting sqref="AL9">
    <cfRule type="cellIs" dxfId="495" priority="133" operator="between">
      <formula>0.563</formula>
      <formula>0.7125</formula>
    </cfRule>
  </conditionalFormatting>
  <conditionalFormatting sqref="AM9">
    <cfRule type="cellIs" dxfId="494" priority="132" operator="between">
      <formula>0.713</formula>
      <formula>0.75</formula>
    </cfRule>
  </conditionalFormatting>
  <conditionalFormatting sqref="AN9">
    <cfRule type="cellIs" dxfId="493" priority="131" operator="greaterThan">
      <formula>0.755</formula>
    </cfRule>
  </conditionalFormatting>
  <conditionalFormatting sqref="AJ10">
    <cfRule type="cellIs" dxfId="492" priority="130" stopIfTrue="1" operator="between">
      <formula>0</formula>
      <formula>0.375</formula>
    </cfRule>
  </conditionalFormatting>
  <conditionalFormatting sqref="AK10">
    <cfRule type="cellIs" dxfId="491" priority="129" operator="between">
      <formula>0.3751</formula>
      <formula>0.5625</formula>
    </cfRule>
  </conditionalFormatting>
  <conditionalFormatting sqref="AL10">
    <cfRule type="cellIs" dxfId="490" priority="128" operator="between">
      <formula>0.563</formula>
      <formula>0.7125</formula>
    </cfRule>
  </conditionalFormatting>
  <conditionalFormatting sqref="AM10">
    <cfRule type="cellIs" dxfId="489" priority="127" operator="between">
      <formula>0.713</formula>
      <formula>0.75</formula>
    </cfRule>
  </conditionalFormatting>
  <conditionalFormatting sqref="AN10">
    <cfRule type="cellIs" dxfId="488" priority="126" operator="greaterThan">
      <formula>0.755</formula>
    </cfRule>
  </conditionalFormatting>
  <conditionalFormatting sqref="AJ11">
    <cfRule type="cellIs" dxfId="487" priority="125" stopIfTrue="1" operator="between">
      <formula>0</formula>
      <formula>0.375</formula>
    </cfRule>
  </conditionalFormatting>
  <conditionalFormatting sqref="AK11">
    <cfRule type="cellIs" dxfId="486" priority="124" operator="between">
      <formula>0.3751</formula>
      <formula>0.5625</formula>
    </cfRule>
  </conditionalFormatting>
  <conditionalFormatting sqref="AL11">
    <cfRule type="cellIs" dxfId="485" priority="123" operator="between">
      <formula>0.563</formula>
      <formula>0.7125</formula>
    </cfRule>
  </conditionalFormatting>
  <conditionalFormatting sqref="AM11">
    <cfRule type="cellIs" dxfId="484" priority="122" operator="between">
      <formula>0.713</formula>
      <formula>0.75</formula>
    </cfRule>
  </conditionalFormatting>
  <conditionalFormatting sqref="AN11">
    <cfRule type="cellIs" dxfId="483" priority="121" operator="greaterThan">
      <formula>0.755</formula>
    </cfRule>
  </conditionalFormatting>
  <conditionalFormatting sqref="AJ12">
    <cfRule type="cellIs" dxfId="482" priority="120" stopIfTrue="1" operator="between">
      <formula>0</formula>
      <formula>0.375</formula>
    </cfRule>
  </conditionalFormatting>
  <conditionalFormatting sqref="AK12">
    <cfRule type="cellIs" dxfId="481" priority="119" operator="between">
      <formula>0.3751</formula>
      <formula>0.5625</formula>
    </cfRule>
  </conditionalFormatting>
  <conditionalFormatting sqref="AL12">
    <cfRule type="cellIs" dxfId="480" priority="118" operator="between">
      <formula>0.563</formula>
      <formula>0.7125</formula>
    </cfRule>
  </conditionalFormatting>
  <conditionalFormatting sqref="AM12">
    <cfRule type="cellIs" dxfId="479" priority="117" operator="between">
      <formula>0.713</formula>
      <formula>0.75</formula>
    </cfRule>
  </conditionalFormatting>
  <conditionalFormatting sqref="AN12">
    <cfRule type="cellIs" dxfId="478" priority="116" operator="greaterThan">
      <formula>0.755</formula>
    </cfRule>
  </conditionalFormatting>
  <conditionalFormatting sqref="AJ13">
    <cfRule type="cellIs" dxfId="477" priority="115" stopIfTrue="1" operator="between">
      <formula>0</formula>
      <formula>0.375</formula>
    </cfRule>
  </conditionalFormatting>
  <conditionalFormatting sqref="AK13">
    <cfRule type="cellIs" dxfId="476" priority="114" operator="between">
      <formula>0.3751</formula>
      <formula>0.5625</formula>
    </cfRule>
  </conditionalFormatting>
  <conditionalFormatting sqref="AL13">
    <cfRule type="cellIs" dxfId="475" priority="113" operator="between">
      <formula>0.563</formula>
      <formula>0.7125</formula>
    </cfRule>
  </conditionalFormatting>
  <conditionalFormatting sqref="AM13">
    <cfRule type="cellIs" dxfId="474" priority="112" operator="between">
      <formula>0.713</formula>
      <formula>0.75</formula>
    </cfRule>
  </conditionalFormatting>
  <conditionalFormatting sqref="AN13">
    <cfRule type="cellIs" dxfId="473" priority="111" operator="greaterThan">
      <formula>0.755</formula>
    </cfRule>
  </conditionalFormatting>
  <conditionalFormatting sqref="AJ14">
    <cfRule type="cellIs" dxfId="472" priority="110" stopIfTrue="1" operator="between">
      <formula>0</formula>
      <formula>0.375</formula>
    </cfRule>
  </conditionalFormatting>
  <conditionalFormatting sqref="AK14">
    <cfRule type="cellIs" dxfId="471" priority="109" operator="between">
      <formula>0.3751</formula>
      <formula>0.5625</formula>
    </cfRule>
  </conditionalFormatting>
  <conditionalFormatting sqref="AL14">
    <cfRule type="cellIs" dxfId="470" priority="108" operator="between">
      <formula>0.563</formula>
      <formula>0.7125</formula>
    </cfRule>
  </conditionalFormatting>
  <conditionalFormatting sqref="AM14">
    <cfRule type="cellIs" dxfId="469" priority="107" operator="between">
      <formula>0.713</formula>
      <formula>0.75</formula>
    </cfRule>
  </conditionalFormatting>
  <conditionalFormatting sqref="AN14">
    <cfRule type="cellIs" dxfId="468" priority="106" operator="greaterThan">
      <formula>0.755</formula>
    </cfRule>
  </conditionalFormatting>
  <conditionalFormatting sqref="AQ6">
    <cfRule type="cellIs" dxfId="467" priority="105" stopIfTrue="1" operator="between">
      <formula>0</formula>
      <formula>0.5</formula>
    </cfRule>
  </conditionalFormatting>
  <conditionalFormatting sqref="AR6">
    <cfRule type="cellIs" dxfId="466" priority="104" operator="between">
      <formula>0.51</formula>
      <formula>0.75</formula>
    </cfRule>
  </conditionalFormatting>
  <conditionalFormatting sqref="AS6">
    <cfRule type="cellIs" dxfId="465" priority="103" operator="between">
      <formula>0.76</formula>
      <formula>0.95</formula>
    </cfRule>
  </conditionalFormatting>
  <conditionalFormatting sqref="AT6">
    <cfRule type="cellIs" dxfId="464" priority="102" operator="between">
      <formula>0.95</formula>
      <formula>1</formula>
    </cfRule>
  </conditionalFormatting>
  <conditionalFormatting sqref="AU6">
    <cfRule type="cellIs" dxfId="463" priority="101" operator="greaterThan">
      <formula>1</formula>
    </cfRule>
  </conditionalFormatting>
  <conditionalFormatting sqref="AQ7">
    <cfRule type="cellIs" dxfId="462" priority="100" stopIfTrue="1" operator="between">
      <formula>0</formula>
      <formula>0.5</formula>
    </cfRule>
  </conditionalFormatting>
  <conditionalFormatting sqref="AR7">
    <cfRule type="cellIs" dxfId="461" priority="99" operator="between">
      <formula>0.51</formula>
      <formula>0.75</formula>
    </cfRule>
  </conditionalFormatting>
  <conditionalFormatting sqref="AS7">
    <cfRule type="cellIs" dxfId="460" priority="98" operator="between">
      <formula>0.76</formula>
      <formula>0.95</formula>
    </cfRule>
  </conditionalFormatting>
  <conditionalFormatting sqref="AT7">
    <cfRule type="cellIs" dxfId="459" priority="97" operator="between">
      <formula>0.95</formula>
      <formula>1</formula>
    </cfRule>
  </conditionalFormatting>
  <conditionalFormatting sqref="AU7">
    <cfRule type="cellIs" dxfId="458" priority="96" operator="greaterThan">
      <formula>1</formula>
    </cfRule>
  </conditionalFormatting>
  <conditionalFormatting sqref="AQ8">
    <cfRule type="cellIs" dxfId="457" priority="95" stopIfTrue="1" operator="between">
      <formula>0</formula>
      <formula>0.5</formula>
    </cfRule>
  </conditionalFormatting>
  <conditionalFormatting sqref="AR8">
    <cfRule type="cellIs" dxfId="456" priority="94" operator="between">
      <formula>0.51</formula>
      <formula>0.75</formula>
    </cfRule>
  </conditionalFormatting>
  <conditionalFormatting sqref="AS8">
    <cfRule type="cellIs" dxfId="455" priority="93" operator="between">
      <formula>0.76</formula>
      <formula>0.95</formula>
    </cfRule>
  </conditionalFormatting>
  <conditionalFormatting sqref="AT8">
    <cfRule type="cellIs" dxfId="454" priority="92" operator="between">
      <formula>0.95</formula>
      <formula>1</formula>
    </cfRule>
  </conditionalFormatting>
  <conditionalFormatting sqref="AU8">
    <cfRule type="cellIs" dxfId="453" priority="91" operator="greaterThan">
      <formula>1</formula>
    </cfRule>
  </conditionalFormatting>
  <conditionalFormatting sqref="AQ9">
    <cfRule type="cellIs" dxfId="452" priority="90" stopIfTrue="1" operator="between">
      <formula>0</formula>
      <formula>0.5</formula>
    </cfRule>
  </conditionalFormatting>
  <conditionalFormatting sqref="AR9">
    <cfRule type="cellIs" dxfId="451" priority="89" operator="between">
      <formula>0.51</formula>
      <formula>0.75</formula>
    </cfRule>
  </conditionalFormatting>
  <conditionalFormatting sqref="AS9">
    <cfRule type="cellIs" dxfId="450" priority="88" operator="between">
      <formula>0.76</formula>
      <formula>0.95</formula>
    </cfRule>
  </conditionalFormatting>
  <conditionalFormatting sqref="AT9">
    <cfRule type="cellIs" dxfId="449" priority="87" operator="between">
      <formula>0.95</formula>
      <formula>1</formula>
    </cfRule>
  </conditionalFormatting>
  <conditionalFormatting sqref="AU9">
    <cfRule type="cellIs" dxfId="448" priority="86" operator="greaterThan">
      <formula>1</formula>
    </cfRule>
  </conditionalFormatting>
  <conditionalFormatting sqref="AQ10">
    <cfRule type="cellIs" dxfId="447" priority="85" stopIfTrue="1" operator="between">
      <formula>0</formula>
      <formula>0.5</formula>
    </cfRule>
  </conditionalFormatting>
  <conditionalFormatting sqref="AR10">
    <cfRule type="cellIs" dxfId="446" priority="84" operator="between">
      <formula>0.51</formula>
      <formula>0.75</formula>
    </cfRule>
  </conditionalFormatting>
  <conditionalFormatting sqref="AS10">
    <cfRule type="cellIs" dxfId="445" priority="83" operator="between">
      <formula>0.76</formula>
      <formula>0.95</formula>
    </cfRule>
  </conditionalFormatting>
  <conditionalFormatting sqref="AT10">
    <cfRule type="cellIs" dxfId="444" priority="82" operator="between">
      <formula>0.95</formula>
      <formula>1</formula>
    </cfRule>
  </conditionalFormatting>
  <conditionalFormatting sqref="AU10">
    <cfRule type="cellIs" dxfId="443" priority="81" operator="greaterThan">
      <formula>1</formula>
    </cfRule>
  </conditionalFormatting>
  <conditionalFormatting sqref="AQ11">
    <cfRule type="cellIs" dxfId="442" priority="80" stopIfTrue="1" operator="between">
      <formula>0</formula>
      <formula>0.5</formula>
    </cfRule>
  </conditionalFormatting>
  <conditionalFormatting sqref="AR11">
    <cfRule type="cellIs" dxfId="441" priority="79" operator="between">
      <formula>0.51</formula>
      <formula>0.75</formula>
    </cfRule>
  </conditionalFormatting>
  <conditionalFormatting sqref="AS11">
    <cfRule type="cellIs" dxfId="440" priority="78" operator="between">
      <formula>0.76</formula>
      <formula>0.95</formula>
    </cfRule>
  </conditionalFormatting>
  <conditionalFormatting sqref="AT11">
    <cfRule type="cellIs" dxfId="439" priority="77" operator="between">
      <formula>0.95</formula>
      <formula>1</formula>
    </cfRule>
  </conditionalFormatting>
  <conditionalFormatting sqref="AU11">
    <cfRule type="cellIs" dxfId="438" priority="76" operator="greaterThan">
      <formula>1</formula>
    </cfRule>
  </conditionalFormatting>
  <conditionalFormatting sqref="AQ12">
    <cfRule type="cellIs" dxfId="437" priority="75" stopIfTrue="1" operator="between">
      <formula>0</formula>
      <formula>0.5</formula>
    </cfRule>
  </conditionalFormatting>
  <conditionalFormatting sqref="AR12">
    <cfRule type="cellIs" dxfId="436" priority="74" operator="between">
      <formula>0.51</formula>
      <formula>0.75</formula>
    </cfRule>
  </conditionalFormatting>
  <conditionalFormatting sqref="AS12">
    <cfRule type="cellIs" dxfId="435" priority="73" operator="between">
      <formula>0.76</formula>
      <formula>0.95</formula>
    </cfRule>
  </conditionalFormatting>
  <conditionalFormatting sqref="AT12">
    <cfRule type="cellIs" dxfId="434" priority="72" operator="between">
      <formula>0.95</formula>
      <formula>1</formula>
    </cfRule>
  </conditionalFormatting>
  <conditionalFormatting sqref="AU12">
    <cfRule type="cellIs" dxfId="433" priority="71" operator="greaterThan">
      <formula>1</formula>
    </cfRule>
  </conditionalFormatting>
  <conditionalFormatting sqref="AQ13">
    <cfRule type="cellIs" dxfId="432" priority="70" stopIfTrue="1" operator="between">
      <formula>0</formula>
      <formula>0.5</formula>
    </cfRule>
  </conditionalFormatting>
  <conditionalFormatting sqref="AR13">
    <cfRule type="cellIs" dxfId="431" priority="69" operator="between">
      <formula>0.51</formula>
      <formula>0.75</formula>
    </cfRule>
  </conditionalFormatting>
  <conditionalFormatting sqref="AS13">
    <cfRule type="cellIs" dxfId="430" priority="68" operator="between">
      <formula>0.76</formula>
      <formula>0.95</formula>
    </cfRule>
  </conditionalFormatting>
  <conditionalFormatting sqref="AT13">
    <cfRule type="cellIs" dxfId="429" priority="67" operator="between">
      <formula>0.95</formula>
      <formula>1</formula>
    </cfRule>
  </conditionalFormatting>
  <conditionalFormatting sqref="AU13">
    <cfRule type="cellIs" dxfId="428" priority="66" operator="greaterThan">
      <formula>1</formula>
    </cfRule>
  </conditionalFormatting>
  <conditionalFormatting sqref="AQ14">
    <cfRule type="cellIs" dxfId="427" priority="65" stopIfTrue="1" operator="between">
      <formula>0</formula>
      <formula>0.5</formula>
    </cfRule>
  </conditionalFormatting>
  <conditionalFormatting sqref="AR14">
    <cfRule type="cellIs" dxfId="426" priority="64" operator="between">
      <formula>0.51</formula>
      <formula>0.75</formula>
    </cfRule>
  </conditionalFormatting>
  <conditionalFormatting sqref="AS14">
    <cfRule type="cellIs" dxfId="425" priority="63" operator="between">
      <formula>0.76</formula>
      <formula>0.95</formula>
    </cfRule>
  </conditionalFormatting>
  <conditionalFormatting sqref="AT14">
    <cfRule type="cellIs" dxfId="424" priority="62" operator="between">
      <formula>0.95</formula>
      <formula>1</formula>
    </cfRule>
  </conditionalFormatting>
  <conditionalFormatting sqref="AU14">
    <cfRule type="cellIs" dxfId="423" priority="61" operator="greaterThan">
      <formula>1</formula>
    </cfRule>
  </conditionalFormatting>
  <conditionalFormatting sqref="AX6">
    <cfRule type="cellIs" dxfId="422" priority="60" operator="between">
      <formula>0.501</formula>
      <formula>0.75</formula>
    </cfRule>
  </conditionalFormatting>
  <conditionalFormatting sqref="AY6">
    <cfRule type="cellIs" dxfId="421" priority="59" operator="between">
      <formula>0.76</formula>
      <formula>0.95</formula>
    </cfRule>
  </conditionalFormatting>
  <conditionalFormatting sqref="AZ6">
    <cfRule type="cellIs" dxfId="420" priority="58" operator="between">
      <formula>0.95</formula>
      <formula>1</formula>
    </cfRule>
  </conditionalFormatting>
  <conditionalFormatting sqref="BA6">
    <cfRule type="cellIs" dxfId="419" priority="57" operator="greaterThan">
      <formula>1</formula>
    </cfRule>
  </conditionalFormatting>
  <conditionalFormatting sqref="AW6">
    <cfRule type="cellIs" dxfId="418" priority="56" stopIfTrue="1" operator="between">
      <formula>0</formula>
      <formula>0.5</formula>
    </cfRule>
  </conditionalFormatting>
  <conditionalFormatting sqref="AX7">
    <cfRule type="cellIs" dxfId="417" priority="55" operator="between">
      <formula>0.501</formula>
      <formula>0.75</formula>
    </cfRule>
  </conditionalFormatting>
  <conditionalFormatting sqref="AY7">
    <cfRule type="cellIs" dxfId="416" priority="54" operator="between">
      <formula>0.76</formula>
      <formula>0.95</formula>
    </cfRule>
  </conditionalFormatting>
  <conditionalFormatting sqref="AZ7">
    <cfRule type="cellIs" dxfId="415" priority="53" operator="between">
      <formula>0.95</formula>
      <formula>1</formula>
    </cfRule>
  </conditionalFormatting>
  <conditionalFormatting sqref="BA7">
    <cfRule type="cellIs" dxfId="414" priority="52" operator="greaterThan">
      <formula>1</formula>
    </cfRule>
  </conditionalFormatting>
  <conditionalFormatting sqref="AW7">
    <cfRule type="cellIs" dxfId="413" priority="51" stopIfTrue="1" operator="between">
      <formula>0</formula>
      <formula>0.5</formula>
    </cfRule>
  </conditionalFormatting>
  <conditionalFormatting sqref="AX8">
    <cfRule type="cellIs" dxfId="412" priority="50" operator="between">
      <formula>0.501</formula>
      <formula>0.75</formula>
    </cfRule>
  </conditionalFormatting>
  <conditionalFormatting sqref="AY8">
    <cfRule type="cellIs" dxfId="411" priority="49" operator="between">
      <formula>0.76</formula>
      <formula>0.95</formula>
    </cfRule>
  </conditionalFormatting>
  <conditionalFormatting sqref="AZ8">
    <cfRule type="cellIs" dxfId="410" priority="48" operator="between">
      <formula>0.95</formula>
      <formula>1</formula>
    </cfRule>
  </conditionalFormatting>
  <conditionalFormatting sqref="BA8">
    <cfRule type="cellIs" dxfId="409" priority="47" operator="greaterThan">
      <formula>1</formula>
    </cfRule>
  </conditionalFormatting>
  <conditionalFormatting sqref="AW8">
    <cfRule type="cellIs" dxfId="408" priority="46" stopIfTrue="1" operator="between">
      <formula>0</formula>
      <formula>0.5</formula>
    </cfRule>
  </conditionalFormatting>
  <conditionalFormatting sqref="AX9">
    <cfRule type="cellIs" dxfId="407" priority="45" operator="between">
      <formula>0.501</formula>
      <formula>0.75</formula>
    </cfRule>
  </conditionalFormatting>
  <conditionalFormatting sqref="AY9">
    <cfRule type="cellIs" dxfId="406" priority="44" operator="between">
      <formula>0.76</formula>
      <formula>0.95</formula>
    </cfRule>
  </conditionalFormatting>
  <conditionalFormatting sqref="AZ9">
    <cfRule type="cellIs" dxfId="405" priority="43" operator="between">
      <formula>0.95</formula>
      <formula>1</formula>
    </cfRule>
  </conditionalFormatting>
  <conditionalFormatting sqref="BA9">
    <cfRule type="cellIs" dxfId="404" priority="42" operator="greaterThan">
      <formula>1</formula>
    </cfRule>
  </conditionalFormatting>
  <conditionalFormatting sqref="AW9">
    <cfRule type="cellIs" dxfId="403" priority="41" stopIfTrue="1" operator="between">
      <formula>0</formula>
      <formula>0.5</formula>
    </cfRule>
  </conditionalFormatting>
  <conditionalFormatting sqref="AX10">
    <cfRule type="cellIs" dxfId="402" priority="40" operator="between">
      <formula>0.501</formula>
      <formula>0.75</formula>
    </cfRule>
  </conditionalFormatting>
  <conditionalFormatting sqref="AY10">
    <cfRule type="cellIs" dxfId="401" priority="39" operator="between">
      <formula>0.76</formula>
      <formula>0.95</formula>
    </cfRule>
  </conditionalFormatting>
  <conditionalFormatting sqref="AZ10">
    <cfRule type="cellIs" dxfId="400" priority="38" operator="between">
      <formula>0.95</formula>
      <formula>1</formula>
    </cfRule>
  </conditionalFormatting>
  <conditionalFormatting sqref="BA10">
    <cfRule type="cellIs" dxfId="399" priority="37" operator="greaterThan">
      <formula>1</formula>
    </cfRule>
  </conditionalFormatting>
  <conditionalFormatting sqref="AW10">
    <cfRule type="cellIs" dxfId="398" priority="36" stopIfTrue="1" operator="between">
      <formula>0</formula>
      <formula>0.5</formula>
    </cfRule>
  </conditionalFormatting>
  <conditionalFormatting sqref="AX11">
    <cfRule type="cellIs" dxfId="397" priority="35" operator="between">
      <formula>0.501</formula>
      <formula>0.75</formula>
    </cfRule>
  </conditionalFormatting>
  <conditionalFormatting sqref="AY11">
    <cfRule type="cellIs" dxfId="396" priority="34" operator="between">
      <formula>0.76</formula>
      <formula>0.95</formula>
    </cfRule>
  </conditionalFormatting>
  <conditionalFormatting sqref="AZ11">
    <cfRule type="cellIs" dxfId="395" priority="33" operator="between">
      <formula>0.95</formula>
      <formula>1</formula>
    </cfRule>
  </conditionalFormatting>
  <conditionalFormatting sqref="BA11">
    <cfRule type="cellIs" dxfId="394" priority="32" operator="greaterThan">
      <formula>1</formula>
    </cfRule>
  </conditionalFormatting>
  <conditionalFormatting sqref="AW11">
    <cfRule type="cellIs" dxfId="393" priority="31" stopIfTrue="1" operator="between">
      <formula>0</formula>
      <formula>0.5</formula>
    </cfRule>
  </conditionalFormatting>
  <conditionalFormatting sqref="AX12">
    <cfRule type="cellIs" dxfId="392" priority="30" operator="between">
      <formula>0.501</formula>
      <formula>0.75</formula>
    </cfRule>
  </conditionalFormatting>
  <conditionalFormatting sqref="AY12">
    <cfRule type="cellIs" dxfId="391" priority="29" operator="between">
      <formula>0.76</formula>
      <formula>0.95</formula>
    </cfRule>
  </conditionalFormatting>
  <conditionalFormatting sqref="AZ12">
    <cfRule type="cellIs" dxfId="390" priority="28" operator="between">
      <formula>0.95</formula>
      <formula>1</formula>
    </cfRule>
  </conditionalFormatting>
  <conditionalFormatting sqref="BA12">
    <cfRule type="cellIs" dxfId="389" priority="27" operator="greaterThan">
      <formula>1</formula>
    </cfRule>
  </conditionalFormatting>
  <conditionalFormatting sqref="AW12">
    <cfRule type="cellIs" dxfId="388" priority="26" stopIfTrue="1" operator="between">
      <formula>0</formula>
      <formula>0.5</formula>
    </cfRule>
  </conditionalFormatting>
  <conditionalFormatting sqref="AX13">
    <cfRule type="cellIs" dxfId="387" priority="25" operator="between">
      <formula>0.501</formula>
      <formula>0.75</formula>
    </cfRule>
  </conditionalFormatting>
  <conditionalFormatting sqref="AY13">
    <cfRule type="cellIs" dxfId="386" priority="24" operator="between">
      <formula>0.76</formula>
      <formula>0.95</formula>
    </cfRule>
  </conditionalFormatting>
  <conditionalFormatting sqref="AZ13">
    <cfRule type="cellIs" dxfId="385" priority="23" operator="between">
      <formula>0.95</formula>
      <formula>1</formula>
    </cfRule>
  </conditionalFormatting>
  <conditionalFormatting sqref="BA13">
    <cfRule type="cellIs" dxfId="384" priority="22" operator="greaterThan">
      <formula>1</formula>
    </cfRule>
  </conditionalFormatting>
  <conditionalFormatting sqref="AW13">
    <cfRule type="cellIs" dxfId="383" priority="21" stopIfTrue="1" operator="between">
      <formula>0</formula>
      <formula>0.5</formula>
    </cfRule>
  </conditionalFormatting>
  <conditionalFormatting sqref="AX14">
    <cfRule type="cellIs" dxfId="382" priority="20" operator="between">
      <formula>0.501</formula>
      <formula>0.75</formula>
    </cfRule>
  </conditionalFormatting>
  <conditionalFormatting sqref="AY14">
    <cfRule type="cellIs" dxfId="381" priority="19" operator="between">
      <formula>0.76</formula>
      <formula>0.95</formula>
    </cfRule>
  </conditionalFormatting>
  <conditionalFormatting sqref="AZ14">
    <cfRule type="cellIs" dxfId="380" priority="18" operator="between">
      <formula>0.95</formula>
      <formula>1</formula>
    </cfRule>
  </conditionalFormatting>
  <conditionalFormatting sqref="BA14">
    <cfRule type="cellIs" dxfId="379" priority="17" operator="greaterThan">
      <formula>1</formula>
    </cfRule>
  </conditionalFormatting>
  <conditionalFormatting sqref="AW14">
    <cfRule type="cellIs" dxfId="378" priority="16" stopIfTrue="1" operator="between">
      <formula>0</formula>
      <formula>0.5</formula>
    </cfRule>
  </conditionalFormatting>
  <conditionalFormatting sqref="W6">
    <cfRule type="cellIs" dxfId="377" priority="15" stopIfTrue="1" operator="between">
      <formula>0</formula>
      <formula>0.255</formula>
    </cfRule>
  </conditionalFormatting>
  <conditionalFormatting sqref="X6">
    <cfRule type="cellIs" dxfId="376" priority="14" operator="between">
      <formula>0.2551</formula>
      <formula>0.375</formula>
    </cfRule>
  </conditionalFormatting>
  <conditionalFormatting sqref="Y6">
    <cfRule type="cellIs" dxfId="375" priority="13" operator="between">
      <formula>0.3751</formula>
      <formula>0.475</formula>
    </cfRule>
  </conditionalFormatting>
  <conditionalFormatting sqref="Z6">
    <cfRule type="cellIs" dxfId="374" priority="12" operator="between">
      <formula>0.4751</formula>
      <formula>0.51</formula>
    </cfRule>
  </conditionalFormatting>
  <conditionalFormatting sqref="AA6">
    <cfRule type="cellIs" dxfId="373" priority="11" operator="greaterThan">
      <formula>0.505</formula>
    </cfRule>
  </conditionalFormatting>
  <conditionalFormatting sqref="AB8">
    <cfRule type="cellIs" dxfId="372" priority="6" operator="greaterThan">
      <formula>0.505</formula>
    </cfRule>
  </conditionalFormatting>
  <conditionalFormatting sqref="W8">
    <cfRule type="cellIs" dxfId="371" priority="5" stopIfTrue="1" operator="between">
      <formula>0</formula>
      <formula>0.255</formula>
    </cfRule>
  </conditionalFormatting>
  <conditionalFormatting sqref="X8">
    <cfRule type="cellIs" dxfId="370" priority="4" operator="between">
      <formula>0.2551</formula>
      <formula>0.375</formula>
    </cfRule>
  </conditionalFormatting>
  <conditionalFormatting sqref="Y8">
    <cfRule type="cellIs" dxfId="369" priority="3" operator="between">
      <formula>0.3751</formula>
      <formula>0.475</formula>
    </cfRule>
  </conditionalFormatting>
  <conditionalFormatting sqref="Z8">
    <cfRule type="cellIs" dxfId="368" priority="2" operator="between">
      <formula>0.48</formula>
      <formula>0.51</formula>
    </cfRule>
  </conditionalFormatting>
  <conditionalFormatting sqref="AA8">
    <cfRule type="cellIs" dxfId="367"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8A38-82BF-44D8-9BEB-60032C32E535}">
  <dimension ref="A1:BD15"/>
  <sheetViews>
    <sheetView showGridLines="0" topLeftCell="A5" zoomScale="80" zoomScaleNormal="80" workbookViewId="0">
      <selection activeCell="Q18" sqref="Q18"/>
    </sheetView>
  </sheetViews>
  <sheetFormatPr baseColWidth="10" defaultRowHeight="15" x14ac:dyDescent="0.25"/>
  <cols>
    <col min="1" max="1" width="49" customWidth="1"/>
    <col min="2" max="2" width="2.28515625" customWidth="1"/>
    <col min="3" max="3" width="21.7109375" customWidth="1"/>
    <col min="4" max="8" width="3.28515625" customWidth="1"/>
    <col min="9" max="10" width="11.7109375" customWidth="1"/>
    <col min="11" max="15" width="3.28515625" customWidth="1"/>
    <col min="16" max="16" width="2.7109375" customWidth="1"/>
    <col min="17" max="17" width="11.7109375" customWidth="1"/>
    <col min="18" max="22" width="3.28515625" customWidth="1"/>
    <col min="23" max="24" width="11.7109375" customWidth="1"/>
    <col min="25" max="29" width="3.28515625" customWidth="1"/>
    <col min="30" max="30" width="3.140625" customWidth="1"/>
    <col min="31" max="31" width="11.7109375" customWidth="1"/>
    <col min="32" max="36" width="3.28515625" customWidth="1"/>
    <col min="37" max="38" width="11.7109375" customWidth="1"/>
    <col min="39" max="43" width="3.28515625" customWidth="1"/>
    <col min="44" max="44" width="2.85546875" customWidth="1"/>
    <col min="45" max="45" width="11.7109375" customWidth="1"/>
    <col min="46" max="50" width="3.28515625" customWidth="1"/>
    <col min="51" max="51" width="21.7109375" customWidth="1"/>
    <col min="52" max="56" width="3.28515625" customWidth="1"/>
  </cols>
  <sheetData>
    <row r="1" spans="1:56" ht="15" customHeight="1" x14ac:dyDescent="0.25">
      <c r="A1" s="1245"/>
      <c r="B1" s="1230" t="s">
        <v>954</v>
      </c>
      <c r="C1" s="1231"/>
      <c r="D1" s="1231"/>
      <c r="E1" s="1231"/>
      <c r="F1" s="1231"/>
      <c r="G1" s="1231"/>
      <c r="H1" s="1195"/>
      <c r="I1" s="1197" t="s">
        <v>955</v>
      </c>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69"/>
      <c r="AS1" s="1221"/>
      <c r="AT1" s="1222"/>
      <c r="AU1" s="1222"/>
      <c r="AV1" s="1222"/>
      <c r="AW1" s="1222"/>
      <c r="AX1" s="1222"/>
      <c r="AY1" s="1222"/>
      <c r="AZ1" s="1222"/>
      <c r="BA1" s="1222"/>
      <c r="BB1" s="1222"/>
      <c r="BC1" s="1222"/>
      <c r="BD1" s="1223"/>
    </row>
    <row r="2" spans="1:56" ht="15" customHeight="1" x14ac:dyDescent="0.25">
      <c r="A2" s="1246"/>
      <c r="B2" s="1232" t="s">
        <v>956</v>
      </c>
      <c r="C2" s="1233"/>
      <c r="D2" s="1233"/>
      <c r="E2" s="1233"/>
      <c r="F2" s="1233"/>
      <c r="G2" s="1233"/>
      <c r="H2" s="1200"/>
      <c r="I2" s="1202" t="s">
        <v>800</v>
      </c>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70"/>
      <c r="AS2" s="1224"/>
      <c r="AT2" s="1225"/>
      <c r="AU2" s="1225"/>
      <c r="AV2" s="1225"/>
      <c r="AW2" s="1225"/>
      <c r="AX2" s="1225"/>
      <c r="AY2" s="1225"/>
      <c r="AZ2" s="1225"/>
      <c r="BA2" s="1225"/>
      <c r="BB2" s="1225"/>
      <c r="BC2" s="1225"/>
      <c r="BD2" s="1226"/>
    </row>
    <row r="3" spans="1:56" ht="15.75" customHeight="1" thickBot="1" x14ac:dyDescent="0.3">
      <c r="A3" s="1247"/>
      <c r="B3" s="1234" t="s">
        <v>852</v>
      </c>
      <c r="C3" s="1210"/>
      <c r="D3" s="1210"/>
      <c r="E3" s="1210"/>
      <c r="F3" s="1210"/>
      <c r="G3" s="1210"/>
      <c r="H3" s="1205"/>
      <c r="I3" s="1207" t="s">
        <v>960</v>
      </c>
      <c r="J3" s="1210"/>
      <c r="K3" s="1210"/>
      <c r="L3" s="1210"/>
      <c r="M3" s="1210"/>
      <c r="N3" s="1210"/>
      <c r="O3" s="1205"/>
      <c r="P3" s="1235" t="s">
        <v>823</v>
      </c>
      <c r="Q3" s="1236"/>
      <c r="R3" s="1236"/>
      <c r="S3" s="1236"/>
      <c r="T3" s="1236"/>
      <c r="U3" s="1236"/>
      <c r="V3" s="1236"/>
      <c r="W3" s="1236"/>
      <c r="X3" s="1236"/>
      <c r="Y3" s="1236"/>
      <c r="Z3" s="1236"/>
      <c r="AA3" s="1236"/>
      <c r="AB3" s="1236"/>
      <c r="AC3" s="1236"/>
      <c r="AD3" s="1236"/>
      <c r="AE3" s="1236"/>
      <c r="AF3" s="1236"/>
      <c r="AG3" s="1236"/>
      <c r="AH3" s="1236"/>
      <c r="AI3" s="1236"/>
      <c r="AJ3" s="1237"/>
      <c r="AK3" s="867" t="s">
        <v>959</v>
      </c>
      <c r="AL3" s="869"/>
      <c r="AM3" s="1207">
        <v>1</v>
      </c>
      <c r="AN3" s="1210"/>
      <c r="AO3" s="1210"/>
      <c r="AP3" s="1210"/>
      <c r="AQ3" s="1210"/>
      <c r="AR3" s="1268"/>
      <c r="AS3" s="1227"/>
      <c r="AT3" s="1228"/>
      <c r="AU3" s="1228"/>
      <c r="AV3" s="1228"/>
      <c r="AW3" s="1228"/>
      <c r="AX3" s="1228"/>
      <c r="AY3" s="1228"/>
      <c r="AZ3" s="1228"/>
      <c r="BA3" s="1228"/>
      <c r="BB3" s="1228"/>
      <c r="BC3" s="1228"/>
      <c r="BD3" s="1229"/>
    </row>
    <row r="4" spans="1:56" ht="15.75" thickBot="1" x14ac:dyDescent="0.3"/>
    <row r="5" spans="1:56" ht="72.75" customHeight="1" thickBot="1" x14ac:dyDescent="0.3">
      <c r="A5" s="289" t="s">
        <v>832</v>
      </c>
      <c r="B5" s="436"/>
      <c r="C5" s="1241" t="s">
        <v>1110</v>
      </c>
      <c r="D5" s="1248"/>
      <c r="E5" s="1248"/>
      <c r="F5" s="1248"/>
      <c r="G5" s="1248"/>
      <c r="H5" s="1249"/>
      <c r="I5" s="1244" t="s">
        <v>1111</v>
      </c>
      <c r="J5" s="1220"/>
      <c r="K5" s="1220"/>
      <c r="L5" s="1220"/>
      <c r="M5" s="1220"/>
      <c r="N5" s="1220"/>
      <c r="O5" s="1220"/>
      <c r="P5" s="177"/>
      <c r="Q5" s="1244" t="s">
        <v>1112</v>
      </c>
      <c r="R5" s="1220"/>
      <c r="S5" s="1220"/>
      <c r="T5" s="1220"/>
      <c r="U5" s="1220"/>
      <c r="V5" s="1267"/>
      <c r="W5" s="1219" t="s">
        <v>1113</v>
      </c>
      <c r="X5" s="1220"/>
      <c r="Y5" s="1220"/>
      <c r="Z5" s="1220"/>
      <c r="AA5" s="1220"/>
      <c r="AB5" s="1220"/>
      <c r="AC5" s="1220"/>
      <c r="AD5" s="598"/>
      <c r="AE5" s="1244" t="s">
        <v>1114</v>
      </c>
      <c r="AF5" s="1220"/>
      <c r="AG5" s="1220"/>
      <c r="AH5" s="1220"/>
      <c r="AI5" s="1220"/>
      <c r="AJ5" s="1267"/>
      <c r="AK5" s="1219" t="s">
        <v>1115</v>
      </c>
      <c r="AL5" s="1220"/>
      <c r="AM5" s="1220"/>
      <c r="AN5" s="1220"/>
      <c r="AO5" s="1220"/>
      <c r="AP5" s="1220"/>
      <c r="AQ5" s="1220"/>
      <c r="AR5" s="598"/>
      <c r="AS5" s="1244" t="s">
        <v>1116</v>
      </c>
      <c r="AT5" s="1220"/>
      <c r="AU5" s="1220"/>
      <c r="AV5" s="1220"/>
      <c r="AW5" s="1220"/>
      <c r="AX5" s="1267"/>
      <c r="AY5" s="1219" t="s">
        <v>1117</v>
      </c>
      <c r="AZ5" s="1220"/>
      <c r="BA5" s="1220"/>
      <c r="BB5" s="1220"/>
      <c r="BC5" s="1220"/>
      <c r="BD5" s="1220"/>
    </row>
    <row r="6" spans="1:56" ht="18" x14ac:dyDescent="0.25">
      <c r="A6" s="295" t="s">
        <v>3</v>
      </c>
      <c r="B6" s="437"/>
      <c r="C6" s="836">
        <f>SUM('Cuadro Mando Integral Detallado'!J32:J33,'Cuadro Mando Integral Detallado'!J35,'Cuadro Mando Integral Detallado'!J115:J116,'Cuadro Mando Integral Detallado'!J118:J119,'Cuadro Mando Integral Detallado'!J168)/COUNT('Cuadro Mando Integral Detallado'!J32:J33,'Cuadro Mando Integral Detallado'!J35,'Cuadro Mando Integral Detallado'!J115:J116,'Cuadro Mando Integral Detallado'!J118:J119,'Cuadro Mando Integral Detallado'!J168)</f>
        <v>0.75</v>
      </c>
      <c r="D6" s="819">
        <f t="shared" ref="D6:D14" si="0">+C6</f>
        <v>0.75</v>
      </c>
      <c r="E6" s="795">
        <f t="shared" ref="E6:E14" si="1">+C6</f>
        <v>0.75</v>
      </c>
      <c r="F6" s="795">
        <f t="shared" ref="F6:F14" si="2">+C6</f>
        <v>0.75</v>
      </c>
      <c r="G6" s="795">
        <f t="shared" ref="G6:G14" si="3">+C6</f>
        <v>0.75</v>
      </c>
      <c r="H6" s="580">
        <f t="shared" ref="H6:H14" si="4">+C6</f>
        <v>0.75</v>
      </c>
      <c r="I6" s="912">
        <f>SUM('Cuadro Mando Integral Detallado'!L35,'Cuadro Mando Integral Detallado'!L115:L116,'Cuadro Mando Integral Detallado'!L118:L119,'Cuadro Mando Integral Detallado'!L168)/COUNT('Cuadro Mando Integral Detallado'!L35,'Cuadro Mando Integral Detallado'!L115:L116,'Cuadro Mando Integral Detallado'!L118:L119,'Cuadro Mando Integral Detallado'!L168)</f>
        <v>0.125</v>
      </c>
      <c r="J6" s="912">
        <f>SUM('Cuadro Mando Integral Detallado'!M35,'Cuadro Mando Integral Detallado'!M115:M116,'Cuadro Mando Integral Detallado'!M118:M119,'Cuadro Mando Integral Detallado'!M168)/COUNT('Cuadro Mando Integral Detallado'!M35,'Cuadro Mando Integral Detallado'!M115:M116,'Cuadro Mando Integral Detallado'!M118:M119,'Cuadro Mando Integral Detallado'!M168)</f>
        <v>0.1875</v>
      </c>
      <c r="K6" s="807">
        <f t="shared" ref="K6:K14" si="5">+I6</f>
        <v>0.125</v>
      </c>
      <c r="L6" s="808">
        <f t="shared" ref="L6:L14" si="6">+I6</f>
        <v>0.125</v>
      </c>
      <c r="M6" s="808">
        <f t="shared" ref="M6:M14" si="7">+I6</f>
        <v>0.125</v>
      </c>
      <c r="N6" s="808">
        <f t="shared" ref="N6:N14" si="8">+I6</f>
        <v>0.125</v>
      </c>
      <c r="O6" s="590">
        <f t="shared" ref="O6:O14" si="9">+I6</f>
        <v>0.125</v>
      </c>
      <c r="P6" s="177"/>
      <c r="Q6" s="836">
        <f>SUM('Cuadro Mando Integral Detallado'!Q32:Q33,'Cuadro Mando Integral Detallado'!Q35,'Cuadro Mando Integral Detallado'!Q115:Q116,'Cuadro Mando Integral Detallado'!Q118:Q119,'Cuadro Mando Integral Detallado'!Q168)/COUNT('Cuadro Mando Integral Detallado'!Q32:Q33,'Cuadro Mando Integral Detallado'!Q35,'Cuadro Mando Integral Detallado'!Q115:Q116,'Cuadro Mando Integral Detallado'!Q118:Q119,'Cuadro Mando Integral Detallado'!Q168)</f>
        <v>0.75</v>
      </c>
      <c r="R6" s="819">
        <f t="shared" ref="R6:R14" si="10">+Q6</f>
        <v>0.75</v>
      </c>
      <c r="S6" s="795">
        <f t="shared" ref="S6:S14" si="11">+Q6</f>
        <v>0.75</v>
      </c>
      <c r="T6" s="795">
        <f t="shared" ref="T6:T14" si="12">+Q6</f>
        <v>0.75</v>
      </c>
      <c r="U6" s="795">
        <f t="shared" ref="U6:U14" si="13">+Q6</f>
        <v>0.75</v>
      </c>
      <c r="V6" s="580">
        <f t="shared" ref="V6:V14" si="14">+Q6</f>
        <v>0.75</v>
      </c>
      <c r="W6" s="912">
        <f>SUM('Cuadro Mando Integral Detallado'!S35,'Cuadro Mando Integral Detallado'!S115:S116,'Cuadro Mando Integral Detallado'!S118:S119,'Cuadro Mando Integral Detallado'!S168)/COUNT('Cuadro Mando Integral Detallado'!S35,'Cuadro Mando Integral Detallado'!S115:S116,'Cuadro Mando Integral Detallado'!S118:S119,'Cuadro Mando Integral Detallado'!S168)</f>
        <v>0.25</v>
      </c>
      <c r="X6" s="912">
        <f>SUM('Cuadro Mando Integral Detallado'!T35,'Cuadro Mando Integral Detallado'!T115:T116,'Cuadro Mando Integral Detallado'!T118:T119,'Cuadro Mando Integral Detallado'!T168)/COUNT('Cuadro Mando Integral Detallado'!T35,'Cuadro Mando Integral Detallado'!T115:T116,'Cuadro Mando Integral Detallado'!T118:T119,'Cuadro Mando Integral Detallado'!T168)</f>
        <v>0.375</v>
      </c>
      <c r="Y6" s="807">
        <f t="shared" ref="Y6:Y14" si="15">+W6</f>
        <v>0.25</v>
      </c>
      <c r="Z6" s="808">
        <f t="shared" ref="Z6:Z14" si="16">+W6</f>
        <v>0.25</v>
      </c>
      <c r="AA6" s="808">
        <f t="shared" ref="AA6:AA14" si="17">+W6</f>
        <v>0.25</v>
      </c>
      <c r="AB6" s="808">
        <f t="shared" ref="AB6:AB14" si="18">+W6</f>
        <v>0.25</v>
      </c>
      <c r="AC6" s="590">
        <f t="shared" ref="AC6:AC13" si="19">+W6</f>
        <v>0.25</v>
      </c>
      <c r="AD6" s="588"/>
      <c r="AE6" s="836">
        <f>SUM('Cuadro Mando Integral Detallado'!X32:X33,'Cuadro Mando Integral Detallado'!X35,'Cuadro Mando Integral Detallado'!X115:X116,'Cuadro Mando Integral Detallado'!X118:X119,'Cuadro Mando Integral Detallado'!X168)/COUNT('Cuadro Mando Integral Detallado'!X32:X33,'Cuadro Mando Integral Detallado'!X35,'Cuadro Mando Integral Detallado'!X115:X116,'Cuadro Mando Integral Detallado'!X118:X119,'Cuadro Mando Integral Detallado'!X168)</f>
        <v>0</v>
      </c>
      <c r="AF6" s="819">
        <f t="shared" ref="AF6:AF14" si="20">+AE6</f>
        <v>0</v>
      </c>
      <c r="AG6" s="795">
        <f t="shared" ref="AG6:AG14" si="21">+AE6</f>
        <v>0</v>
      </c>
      <c r="AH6" s="795">
        <f t="shared" ref="AH6:AH14" si="22">+AE6</f>
        <v>0</v>
      </c>
      <c r="AI6" s="795">
        <f t="shared" ref="AI6:AI14" si="23">+AE6</f>
        <v>0</v>
      </c>
      <c r="AJ6" s="580">
        <f t="shared" ref="AJ6:AJ14" si="24">+AE6</f>
        <v>0</v>
      </c>
      <c r="AK6" s="826">
        <f>SUM('Cuadro Mando Integral Detallado'!Z32:Z33,'Cuadro Mando Integral Detallado'!Z35,'Cuadro Mando Integral Detallado'!Z115:Z116,'Cuadro Mando Integral Detallado'!Z118:Z119,'Cuadro Mando Integral Detallado'!Z168)/COUNT('Cuadro Mando Integral Detallado'!Z32:Z33,'Cuadro Mando Integral Detallado'!Z35,'Cuadro Mando Integral Detallado'!Z115:Z116,'Cuadro Mando Integral Detallado'!Z118:Z119,'Cuadro Mando Integral Detallado'!Z168)</f>
        <v>0.25</v>
      </c>
      <c r="AL6" s="826">
        <f>SUM('Cuadro Mando Integral Detallado'!AA32:AA33,'Cuadro Mando Integral Detallado'!AA35,'Cuadro Mando Integral Detallado'!AA115:AA116,'Cuadro Mando Integral Detallado'!AA118:AA119,'Cuadro Mando Integral Detallado'!AA168)/COUNT('Cuadro Mando Integral Detallado'!AA32:AA33,'Cuadro Mando Integral Detallado'!AA35,'Cuadro Mando Integral Detallado'!AA115:AA116,'Cuadro Mando Integral Detallado'!AA118:AA119,'Cuadro Mando Integral Detallado'!AA168)</f>
        <v>0.2857142857142857</v>
      </c>
      <c r="AM6" s="819">
        <f t="shared" ref="AM6:AM13" si="25">+AK6</f>
        <v>0.25</v>
      </c>
      <c r="AN6" s="808">
        <f t="shared" ref="AN6:AN14" si="26">+AK6</f>
        <v>0.25</v>
      </c>
      <c r="AO6" s="808">
        <f t="shared" ref="AO6:AO14" si="27">+AK6</f>
        <v>0.25</v>
      </c>
      <c r="AP6" s="808">
        <f t="shared" ref="AP6:AP14" si="28">+AK6</f>
        <v>0.25</v>
      </c>
      <c r="AQ6" s="590">
        <f t="shared" ref="AQ6:AQ14" si="29">+AK6</f>
        <v>0.25</v>
      </c>
      <c r="AR6" s="588"/>
      <c r="AS6" s="836">
        <f>SUM('Cuadro Mando Integral Detallado'!AE32:AE33,'Cuadro Mando Integral Detallado'!AE35,'Cuadro Mando Integral Detallado'!AE115:AE116,'Cuadro Mando Integral Detallado'!AE118:AE119,'Cuadro Mando Integral Detallado'!AE168)/COUNT('Cuadro Mando Integral Detallado'!AE32:AE33,'Cuadro Mando Integral Detallado'!AE35,'Cuadro Mando Integral Detallado'!AE115:AE116,'Cuadro Mando Integral Detallado'!AE118:AE119,'Cuadro Mando Integral Detallado'!AE168)</f>
        <v>0</v>
      </c>
      <c r="AT6" s="819">
        <f t="shared" ref="AT6:AT14" si="30">+AS6</f>
        <v>0</v>
      </c>
      <c r="AU6" s="795">
        <f t="shared" ref="AU6:AU14" si="31">+AS6</f>
        <v>0</v>
      </c>
      <c r="AV6" s="795">
        <f t="shared" ref="AV6:AV14" si="32">+AS6</f>
        <v>0</v>
      </c>
      <c r="AW6" s="795">
        <f t="shared" ref="AW6:AW14" si="33">+AS6</f>
        <v>0</v>
      </c>
      <c r="AX6" s="580">
        <f t="shared" ref="AX6:AX14" si="34">+AS6</f>
        <v>0</v>
      </c>
      <c r="AY6" s="832">
        <f>SUM('Cuadro Mando Integral Detallado'!AG32:AG33,'Cuadro Mando Integral Detallado'!AG35,'Cuadro Mando Integral Detallado'!AG115:AG116,'Cuadro Mando Integral Detallado'!AG118:AG119,'Cuadro Mando Integral Detallado'!AG168)/COUNT('Cuadro Mando Integral Detallado'!AG32:AG33,'Cuadro Mando Integral Detallado'!AG35,'Cuadro Mando Integral Detallado'!AG115:AG116,'Cuadro Mando Integral Detallado'!AF118:AG119,'Cuadro Mando Integral Detallado'!AG168)</f>
        <v>0.25</v>
      </c>
      <c r="AZ6" s="819">
        <f>+AY6</f>
        <v>0.25</v>
      </c>
      <c r="BA6" s="808">
        <f t="shared" ref="BA6:BA14" si="35">+AY6</f>
        <v>0.25</v>
      </c>
      <c r="BB6" s="808">
        <f t="shared" ref="BB6:BB14" si="36">+AY6</f>
        <v>0.25</v>
      </c>
      <c r="BC6" s="808">
        <f t="shared" ref="BC6:BC14" si="37">+AY6</f>
        <v>0.25</v>
      </c>
      <c r="BD6" s="590">
        <f t="shared" ref="BD6:BD14" si="38">+AY6</f>
        <v>0.25</v>
      </c>
    </row>
    <row r="7" spans="1:56" ht="36" x14ac:dyDescent="0.25">
      <c r="A7" s="292" t="s">
        <v>829</v>
      </c>
      <c r="B7" s="437"/>
      <c r="C7" s="596">
        <f>SUM('Cuadro Mando Integral Detallado'!J34,'Cuadro Mando Integral Detallado'!J38:J64,'Cuadro Mando Integral Detallado'!J120,'Cuadro Mando Integral Detallado'!J147:J154,'Cuadro Mando Integral Detallado'!J169,'Cuadro Mando Integral Detallado'!J179:J180)/COUNT('Cuadro Mando Integral Detallado'!J34,'Cuadro Mando Integral Detallado'!J38:J64,'Cuadro Mando Integral Detallado'!J120,'Cuadro Mando Integral Detallado'!J147:J154,'Cuadro Mando Integral Detallado'!J169,'Cuadro Mando Integral Detallado'!J179:J180)</f>
        <v>0.73958168987086292</v>
      </c>
      <c r="D7" s="820">
        <f t="shared" si="0"/>
        <v>0.73958168987086292</v>
      </c>
      <c r="E7" s="794">
        <f t="shared" si="1"/>
        <v>0.73958168987086292</v>
      </c>
      <c r="F7" s="794">
        <f t="shared" si="2"/>
        <v>0.73958168987086292</v>
      </c>
      <c r="G7" s="794">
        <f t="shared" si="3"/>
        <v>0.73958168987086292</v>
      </c>
      <c r="H7" s="581">
        <f t="shared" si="4"/>
        <v>0.73958168987086292</v>
      </c>
      <c r="I7" s="909">
        <f>SUM('Cuadro Mando Integral Detallado'!L34,'Cuadro Mando Integral Detallado'!L38:L64,'Cuadro Mando Integral Detallado'!L120,'Cuadro Mando Integral Detallado'!L147:L154,'Cuadro Mando Integral Detallado'!L169,'Cuadro Mando Integral Detallado'!L179:L180)/COUNT('Cuadro Mando Integral Detallado'!L34,'Cuadro Mando Integral Detallado'!L38:L64,'Cuadro Mando Integral Detallado'!L120,'Cuadro Mando Integral Detallado'!L147:L154,'Cuadro Mando Integral Detallado'!L169,'Cuadro Mando Integral Detallado'!L179:L180)</f>
        <v>0.16733904269971331</v>
      </c>
      <c r="J7" s="909">
        <f>SUM('Cuadro Mando Integral Detallado'!M34,'Cuadro Mando Integral Detallado'!M38:M64,'Cuadro Mando Integral Detallado'!M120,'Cuadro Mando Integral Detallado'!M147:M154,'Cuadro Mando Integral Detallado'!M169,'Cuadro Mando Integral Detallado'!M179:M180)/COUNT('Cuadro Mando Integral Detallado'!M34,'Cuadro Mando Integral Detallado'!M38:M64,'Cuadro Mando Integral Detallado'!M120,'Cuadro Mando Integral Detallado'!M147:M154,'Cuadro Mando Integral Detallado'!M169,'Cuadro Mando Integral Detallado'!M179:M180)</f>
        <v>0.18090707318887925</v>
      </c>
      <c r="K7" s="809">
        <f t="shared" si="5"/>
        <v>0.16733904269971331</v>
      </c>
      <c r="L7" s="806">
        <f t="shared" si="6"/>
        <v>0.16733904269971331</v>
      </c>
      <c r="M7" s="806">
        <f t="shared" si="7"/>
        <v>0.16733904269971331</v>
      </c>
      <c r="N7" s="806">
        <f t="shared" si="8"/>
        <v>0.16733904269971331</v>
      </c>
      <c r="O7" s="591">
        <f t="shared" si="9"/>
        <v>0.16733904269971331</v>
      </c>
      <c r="P7" s="163"/>
      <c r="Q7" s="596">
        <f>SUM('Cuadro Mando Integral Detallado'!Q34,'Cuadro Mando Integral Detallado'!Q38:Q64,'Cuadro Mando Integral Detallado'!Q120,'Cuadro Mando Integral Detallado'!Q147:Q154,'Cuadro Mando Integral Detallado'!Q169,'Cuadro Mando Integral Detallado'!Q179:Q180)/COUNT('Cuadro Mando Integral Detallado'!Q34,'Cuadro Mando Integral Detallado'!Q38:Q64,'Cuadro Mando Integral Detallado'!Q120,'Cuadro Mando Integral Detallado'!Q147:Q154,'Cuadro Mando Integral Detallado'!Q169,'Cuadro Mando Integral Detallado'!Q179:Q180)</f>
        <v>0.74234719121518522</v>
      </c>
      <c r="R7" s="820">
        <f t="shared" si="10"/>
        <v>0.74234719121518522</v>
      </c>
      <c r="S7" s="794">
        <f t="shared" si="11"/>
        <v>0.74234719121518522</v>
      </c>
      <c r="T7" s="794">
        <f t="shared" si="12"/>
        <v>0.74234719121518522</v>
      </c>
      <c r="U7" s="794">
        <f t="shared" si="13"/>
        <v>0.74234719121518522</v>
      </c>
      <c r="V7" s="581">
        <f t="shared" si="14"/>
        <v>0.74234719121518522</v>
      </c>
      <c r="W7" s="909">
        <f>SUM('Cuadro Mando Integral Detallado'!S34,'Cuadro Mando Integral Detallado'!S38:S64,'Cuadro Mando Integral Detallado'!S120,'Cuadro Mando Integral Detallado'!S147:S154,'Cuadro Mando Integral Detallado'!S169,'Cuadro Mando Integral Detallado'!S179:S180)/COUNT('Cuadro Mando Integral Detallado'!S34,'Cuadro Mando Integral Detallado'!S38:S64,'Cuadro Mando Integral Detallado'!S120,'Cuadro Mando Integral Detallado'!S147:S154,'Cuadro Mando Integral Detallado'!S169,'Cuadro Mando Integral Detallado'!S179:S180)</f>
        <v>0.33952738060185722</v>
      </c>
      <c r="X7" s="909">
        <f>SUM('Cuadro Mando Integral Detallado'!T34,'Cuadro Mando Integral Detallado'!T38:T64,'Cuadro Mando Integral Detallado'!T120,'Cuadro Mando Integral Detallado'!T147:T154,'Cuadro Mando Integral Detallado'!T169,'Cuadro Mando Integral Detallado'!T179:T180)/COUNT('Cuadro Mando Integral Detallado'!T34,'Cuadro Mando Integral Detallado'!T38:T64,'Cuadro Mando Integral Detallado'!T120,'Cuadro Mando Integral Detallado'!T147:T154,'Cuadro Mando Integral Detallado'!T169,'Cuadro Mando Integral Detallado'!T179:T180)</f>
        <v>0.36705662767768349</v>
      </c>
      <c r="Y7" s="809">
        <f t="shared" si="15"/>
        <v>0.33952738060185722</v>
      </c>
      <c r="Z7" s="806">
        <f t="shared" si="16"/>
        <v>0.33952738060185722</v>
      </c>
      <c r="AA7" s="806">
        <f t="shared" si="17"/>
        <v>0.33952738060185722</v>
      </c>
      <c r="AB7" s="806">
        <f t="shared" si="18"/>
        <v>0.33952738060185722</v>
      </c>
      <c r="AC7" s="591">
        <f t="shared" si="19"/>
        <v>0.33952738060185722</v>
      </c>
      <c r="AD7" s="588"/>
      <c r="AE7" s="596">
        <f>SUM('Cuadro Mando Integral Detallado'!X34,'Cuadro Mando Integral Detallado'!X38:X64,'Cuadro Mando Integral Detallado'!X120,'Cuadro Mando Integral Detallado'!X147:X154,'Cuadro Mando Integral Detallado'!X169,'Cuadro Mando Integral Detallado'!X179:X180)/COUNT('Cuadro Mando Integral Detallado'!X34,'Cuadro Mando Integral Detallado'!X38:X64,'Cuadro Mando Integral Detallado'!X120,'Cuadro Mando Integral Detallado'!X147:X154,'Cuadro Mando Integral Detallado'!X169,'Cuadro Mando Integral Detallado'!X179:X180)</f>
        <v>0</v>
      </c>
      <c r="AF7" s="820">
        <f t="shared" si="20"/>
        <v>0</v>
      </c>
      <c r="AG7" s="794">
        <f t="shared" si="21"/>
        <v>0</v>
      </c>
      <c r="AH7" s="794">
        <f t="shared" si="22"/>
        <v>0</v>
      </c>
      <c r="AI7" s="794">
        <f t="shared" si="23"/>
        <v>0</v>
      </c>
      <c r="AJ7" s="581">
        <f t="shared" si="24"/>
        <v>0</v>
      </c>
      <c r="AK7" s="827">
        <f>SUM('Cuadro Mando Integral Detallado'!Z34,'Cuadro Mando Integral Detallado'!Z38:Z64,'Cuadro Mando Integral Detallado'!Z120,'Cuadro Mando Integral Detallado'!Z147:Z154,'Cuadro Mando Integral Detallado'!Z169,'Cuadro Mando Integral Detallado'!Z179:Z180)/COUNT('Cuadro Mando Integral Detallado'!Z34,'Cuadro Mando Integral Detallado'!Z38:Z64,'Cuadro Mando Integral Detallado'!Z120,'Cuadro Mando Integral Detallado'!Z147:Z154,'Cuadro Mando Integral Detallado'!Z169,'Cuadro Mando Integral Detallado'!Z179:Z180)</f>
        <v>0.35983568725500537</v>
      </c>
      <c r="AL7" s="827">
        <f>SUM('Cuadro Mando Integral Detallado'!AA34,'Cuadro Mando Integral Detallado'!AA38:AA64,'Cuadro Mando Integral Detallado'!AA120,'Cuadro Mando Integral Detallado'!AA147:AA154,'Cuadro Mando Integral Detallado'!AA169,'Cuadro Mando Integral Detallado'!AA179:AA180)/COUNT('Cuadro Mando Integral Detallado'!AA34,'Cuadro Mando Integral Detallado'!AA38:AA64,'Cuadro Mando Integral Detallado'!AA120,'Cuadro Mando Integral Detallado'!AA147:AA154,'Cuadro Mando Integral Detallado'!AA169,'Cuadro Mando Integral Detallado'!AA179:AA180)</f>
        <v>0.38901155378919494</v>
      </c>
      <c r="AM7" s="820">
        <f t="shared" si="25"/>
        <v>0.35983568725500537</v>
      </c>
      <c r="AN7" s="806">
        <f t="shared" si="26"/>
        <v>0.35983568725500537</v>
      </c>
      <c r="AO7" s="806">
        <f t="shared" si="27"/>
        <v>0.35983568725500537</v>
      </c>
      <c r="AP7" s="806">
        <f t="shared" si="28"/>
        <v>0.35983568725500537</v>
      </c>
      <c r="AQ7" s="591">
        <f t="shared" si="29"/>
        <v>0.35983568725500537</v>
      </c>
      <c r="AR7" s="588"/>
      <c r="AS7" s="596">
        <f>SUM('Cuadro Mando Integral Detallado'!AE34,'Cuadro Mando Integral Detallado'!AE38:AE64,'Cuadro Mando Integral Detallado'!AE120,'Cuadro Mando Integral Detallado'!AE147:AE154,'Cuadro Mando Integral Detallado'!AE169,'Cuadro Mando Integral Detallado'!AE179:AE180)/COUNT('Cuadro Mando Integral Detallado'!AE34,'Cuadro Mando Integral Detallado'!AE38:AE64,'Cuadro Mando Integral Detallado'!AE120,'Cuadro Mando Integral Detallado'!AE147:AE154,'Cuadro Mando Integral Detallado'!AE169,'Cuadro Mando Integral Detallado'!AE179:AE180)</f>
        <v>0</v>
      </c>
      <c r="AT7" s="820">
        <f t="shared" si="30"/>
        <v>0</v>
      </c>
      <c r="AU7" s="794">
        <f t="shared" si="31"/>
        <v>0</v>
      </c>
      <c r="AV7" s="794">
        <f t="shared" si="32"/>
        <v>0</v>
      </c>
      <c r="AW7" s="794">
        <f t="shared" si="33"/>
        <v>0</v>
      </c>
      <c r="AX7" s="581">
        <f t="shared" si="34"/>
        <v>0</v>
      </c>
      <c r="AY7" s="824">
        <f>SUM('Cuadro Mando Integral Detallado'!AG34,'Cuadro Mando Integral Detallado'!AG38:AG64,'Cuadro Mando Integral Detallado'!AG147:AG154,'Cuadro Mando Integral Detallado'!AG169,'Cuadro Mando Integral Detallado'!AG179:AG180)/COUNT('Cuadro Mando Integral Detallado'!AG34,'Cuadro Mando Integral Detallado'!AG38:AG64,'Cuadro Mando Integral Detallado'!AG147:AG154,'Cuadro Mando Integral Detallado'!AG169,'Cuadro Mando Integral Detallado'!AG179:AG180)</f>
        <v>0.36664466722135997</v>
      </c>
      <c r="AZ7" s="820">
        <f t="shared" ref="AZ7:AZ14" si="39">+AY7</f>
        <v>0.36664466722135997</v>
      </c>
      <c r="BA7" s="806">
        <f t="shared" si="35"/>
        <v>0.36664466722135997</v>
      </c>
      <c r="BB7" s="806">
        <f t="shared" si="36"/>
        <v>0.36664466722135997</v>
      </c>
      <c r="BC7" s="806">
        <f t="shared" si="37"/>
        <v>0.36664466722135997</v>
      </c>
      <c r="BD7" s="591">
        <f t="shared" si="38"/>
        <v>0.36664466722135997</v>
      </c>
    </row>
    <row r="8" spans="1:56" ht="36" x14ac:dyDescent="0.25">
      <c r="A8" s="292" t="s">
        <v>26</v>
      </c>
      <c r="B8" s="437"/>
      <c r="C8" s="596">
        <f>SUM('Cuadro Mando Integral Detallado'!J99:J103,'Cuadro Mando Integral Detallado'!J124:J138,'Cuadro Mando Integral Detallado'!J170,'Cuadro Mando Integral Detallado'!J181:J182,'Cuadro Mando Integral Detallado'!J204)/COUNT('Cuadro Mando Integral Detallado'!J99:J103,'Cuadro Mando Integral Detallado'!J124:J138,'Cuadro Mando Integral Detallado'!J170,'Cuadro Mando Integral Detallado'!J181:J182,'Cuadro Mando Integral Detallado'!J204)</f>
        <v>0.79961994941650749</v>
      </c>
      <c r="D8" s="820">
        <f>+C8</f>
        <v>0.79961994941650749</v>
      </c>
      <c r="E8" s="794">
        <f t="shared" si="1"/>
        <v>0.79961994941650749</v>
      </c>
      <c r="F8" s="794">
        <f t="shared" si="2"/>
        <v>0.79961994941650749</v>
      </c>
      <c r="G8" s="794">
        <f t="shared" si="3"/>
        <v>0.79961994941650749</v>
      </c>
      <c r="H8" s="581">
        <f t="shared" si="4"/>
        <v>0.79961994941650749</v>
      </c>
      <c r="I8" s="827">
        <f>SUM('Cuadro Mando Integral Detallado'!L99:L103,'Cuadro Mando Integral Detallado'!L124:L138,'Cuadro Mando Integral Detallado'!L170,'Cuadro Mando Integral Detallado'!L181:L182,'Cuadro Mando Integral Detallado'!L204)/COUNT('Cuadro Mando Integral Detallado'!L99:L103,'Cuadro Mando Integral Detallado'!L124:L138,'Cuadro Mando Integral Detallado'!L170,'Cuadro Mando Integral Detallado'!L181:L182,'Cuadro Mando Integral Detallado'!L204)</f>
        <v>0.1864393368000847</v>
      </c>
      <c r="J8" s="827">
        <f>SUM('Cuadro Mando Integral Detallado'!M99:M103,'Cuadro Mando Integral Detallado'!M124:M138,'Cuadro Mando Integral Detallado'!M170,'Cuadro Mando Integral Detallado'!M181:M182,'Cuadro Mando Integral Detallado'!M204)/COUNT('Cuadro Mando Integral Detallado'!M99:M103,'Cuadro Mando Integral Detallado'!M124:M138,'Cuadro Mando Integral Detallado'!M170,'Cuadro Mando Integral Detallado'!M181:M182,'Cuadro Mando Integral Detallado'!M204)</f>
        <v>0.20338836741827421</v>
      </c>
      <c r="K8" s="809">
        <f t="shared" si="5"/>
        <v>0.1864393368000847</v>
      </c>
      <c r="L8" s="806">
        <f t="shared" si="6"/>
        <v>0.1864393368000847</v>
      </c>
      <c r="M8" s="806">
        <f t="shared" si="7"/>
        <v>0.1864393368000847</v>
      </c>
      <c r="N8" s="806">
        <f t="shared" si="8"/>
        <v>0.1864393368000847</v>
      </c>
      <c r="O8" s="591">
        <f t="shared" si="9"/>
        <v>0.1864393368000847</v>
      </c>
      <c r="P8" s="163"/>
      <c r="Q8" s="596">
        <f>SUM('Cuadro Mando Integral Detallado'!Q99:Q103,'Cuadro Mando Integral Detallado'!Q124:Q138,'Cuadro Mando Integral Detallado'!Q170,'Cuadro Mando Integral Detallado'!Q181:Q182,'Cuadro Mando Integral Detallado'!Q204)/COUNT('Cuadro Mando Integral Detallado'!Q99:Q103,'Cuadro Mando Integral Detallado'!Q124:Q138,'Cuadro Mando Integral Detallado'!Q170,'Cuadro Mando Integral Detallado'!Q181:Q182,'Cuadro Mando Integral Detallado'!Q204)</f>
        <v>0.86985077405685529</v>
      </c>
      <c r="R8" s="820">
        <f t="shared" si="10"/>
        <v>0.86985077405685529</v>
      </c>
      <c r="S8" s="794">
        <f t="shared" si="11"/>
        <v>0.86985077405685529</v>
      </c>
      <c r="T8" s="794">
        <f t="shared" si="12"/>
        <v>0.86985077405685529</v>
      </c>
      <c r="U8" s="794">
        <f t="shared" si="13"/>
        <v>0.86985077405685529</v>
      </c>
      <c r="V8" s="581">
        <f t="shared" si="14"/>
        <v>0.86985077405685529</v>
      </c>
      <c r="W8" s="827">
        <f>SUM('Cuadro Mando Integral Detallado'!S99:S103,'Cuadro Mando Integral Detallado'!S124:S138,'Cuadro Mando Integral Detallado'!S170,'Cuadro Mando Integral Detallado'!S181:S182,'Cuadro Mando Integral Detallado'!S204)/COUNT('Cuadro Mando Integral Detallado'!S99:S103,'Cuadro Mando Integral Detallado'!S124:S138,'Cuadro Mando Integral Detallado'!S170,'Cuadro Mando Integral Detallado'!S181:S182,'Cuadro Mando Integral Detallado'!S204)</f>
        <v>0.41777252478793242</v>
      </c>
      <c r="X8" s="827">
        <f>SUM('Cuadro Mando Integral Detallado'!T99:T103,'Cuadro Mando Integral Detallado'!T124:T138,'Cuadro Mando Integral Detallado'!T170,'Cuadro Mando Integral Detallado'!T181:T182,'Cuadro Mando Integral Detallado'!T204)/COUNT('Cuadro Mando Integral Detallado'!T99:T103,'Cuadro Mando Integral Detallado'!T124:T138,'Cuadro Mando Integral Detallado'!T170,'Cuadro Mando Integral Detallado'!T181:T182,'Cuadro Mando Integral Detallado'!T204)</f>
        <v>0.455751845223199</v>
      </c>
      <c r="Y8" s="809">
        <f t="shared" si="15"/>
        <v>0.41777252478793242</v>
      </c>
      <c r="Z8" s="806">
        <f t="shared" si="16"/>
        <v>0.41777252478793242</v>
      </c>
      <c r="AA8" s="806">
        <f t="shared" si="17"/>
        <v>0.41777252478793242</v>
      </c>
      <c r="AB8" s="806">
        <f t="shared" si="18"/>
        <v>0.41777252478793242</v>
      </c>
      <c r="AC8" s="591">
        <f t="shared" si="19"/>
        <v>0.41777252478793242</v>
      </c>
      <c r="AD8" s="844"/>
      <c r="AE8" s="596">
        <f>SUM('Cuadro Mando Integral Detallado'!X99:X102,'Cuadro Mando Integral Detallado'!X124:X138,'Cuadro Mando Integral Detallado'!X170,'Cuadro Mando Integral Detallado'!X181:X182,'Cuadro Mando Integral Detallado'!X204)/COUNT('Cuadro Mando Integral Detallado'!X99:X102,'Cuadro Mando Integral Detallado'!X124:X138,'Cuadro Mando Integral Detallado'!X170,'Cuadro Mando Integral Detallado'!X181:X182,'Cuadro Mando Integral Detallado'!X204)</f>
        <v>0</v>
      </c>
      <c r="AF8" s="820">
        <f t="shared" si="20"/>
        <v>0</v>
      </c>
      <c r="AG8" s="794">
        <f t="shared" si="21"/>
        <v>0</v>
      </c>
      <c r="AH8" s="794">
        <f t="shared" si="22"/>
        <v>0</v>
      </c>
      <c r="AI8" s="794">
        <f t="shared" si="23"/>
        <v>0</v>
      </c>
      <c r="AJ8" s="581">
        <f t="shared" si="24"/>
        <v>0</v>
      </c>
      <c r="AK8" s="827">
        <f>SUM('Cuadro Mando Integral Detallado'!Z99:Z102,'Cuadro Mando Integral Detallado'!Z124:Z138,'Cuadro Mando Integral Detallado'!Z170,'Cuadro Mando Integral Detallado'!Z181:Z182,'Cuadro Mando Integral Detallado'!Z204)/COUNT('Cuadro Mando Integral Detallado'!Z99:Z102,'Cuadro Mando Integral Detallado'!Z124:Z138,'Cuadro Mando Integral Detallado'!Z170,'Cuadro Mando Integral Detallado'!Z181:Z182,'Cuadro Mando Integral Detallado'!Z204)</f>
        <v>0.42817257244951951</v>
      </c>
      <c r="AL8" s="827">
        <f>SUM('Cuadro Mando Integral Detallado'!AA99:AA102,'Cuadro Mando Integral Detallado'!AA124:AA138,'Cuadro Mando Integral Detallado'!AA170,'Cuadro Mando Integral Detallado'!AA181:AA182,'Cuadro Mando Integral Detallado'!AA204)/COUNT('Cuadro Mando Integral Detallado'!AA99:AA102,'Cuadro Mando Integral Detallado'!AA124:AA138,'Cuadro Mando Integral Detallado'!AA170,'Cuadro Mando Integral Detallado'!AA181:AA182,'Cuadro Mando Integral Detallado'!AA204)</f>
        <v>0.46895091268280709</v>
      </c>
      <c r="AM8" s="820">
        <f t="shared" si="25"/>
        <v>0.42817257244951951</v>
      </c>
      <c r="AN8" s="806">
        <f t="shared" si="26"/>
        <v>0.42817257244951951</v>
      </c>
      <c r="AO8" s="806">
        <f t="shared" si="27"/>
        <v>0.42817257244951951</v>
      </c>
      <c r="AP8" s="806">
        <f t="shared" si="28"/>
        <v>0.42817257244951951</v>
      </c>
      <c r="AQ8" s="591">
        <f t="shared" si="29"/>
        <v>0.42817257244951951</v>
      </c>
      <c r="AR8" s="588"/>
      <c r="AS8" s="596">
        <f>SUM('Cuadro Mando Integral Detallado'!AE99:AE102,'Cuadro Mando Integral Detallado'!AE124:AE138,'Cuadro Mando Integral Detallado'!AE170,'Cuadro Mando Integral Detallado'!AE181:AE182,'Cuadro Mando Integral Detallado'!AE204)/COUNT('Cuadro Mando Integral Detallado'!AE99:AE102,'Cuadro Mando Integral Detallado'!AE124:AE138,'Cuadro Mando Integral Detallado'!AE170,'Cuadro Mando Integral Detallado'!AE181:AE182,'Cuadro Mando Integral Detallado'!AE204)</f>
        <v>0</v>
      </c>
      <c r="AT8" s="820">
        <f t="shared" si="30"/>
        <v>0</v>
      </c>
      <c r="AU8" s="794">
        <f t="shared" si="31"/>
        <v>0</v>
      </c>
      <c r="AV8" s="794">
        <f t="shared" si="32"/>
        <v>0</v>
      </c>
      <c r="AW8" s="794">
        <f t="shared" si="33"/>
        <v>0</v>
      </c>
      <c r="AX8" s="581">
        <f t="shared" si="34"/>
        <v>0</v>
      </c>
      <c r="AY8" s="824">
        <f>SUM('Cuadro Mando Integral Detallado'!AG99:AG102,'Cuadro Mando Integral Detallado'!AG124:AG138,'Cuadro Mando Integral Detallado'!AG170,'Cuadro Mando Integral Detallado'!AG181:AG182,'Cuadro Mando Integral Detallado'!AG204)/COUNT('Cuadro Mando Integral Detallado'!AG99:AG102,'Cuadro Mando Integral Detallado'!AG124:AG138,'Cuadro Mando Integral Detallado'!AG170,'Cuadro Mando Integral Detallado'!AG181:AG182,'Cuadro Mando Integral Detallado'!AG204)</f>
        <v>0.43889156360329329</v>
      </c>
      <c r="AZ8" s="820">
        <f t="shared" si="39"/>
        <v>0.43889156360329329</v>
      </c>
      <c r="BA8" s="806">
        <f t="shared" si="35"/>
        <v>0.43889156360329329</v>
      </c>
      <c r="BB8" s="806">
        <f t="shared" si="36"/>
        <v>0.43889156360329329</v>
      </c>
      <c r="BC8" s="806">
        <f t="shared" si="37"/>
        <v>0.43889156360329329</v>
      </c>
      <c r="BD8" s="591">
        <f t="shared" si="38"/>
        <v>0.43889156360329329</v>
      </c>
    </row>
    <row r="9" spans="1:56" ht="18" x14ac:dyDescent="0.25">
      <c r="A9" s="292" t="s">
        <v>625</v>
      </c>
      <c r="B9" s="437"/>
      <c r="C9" s="596">
        <f>SUM('Cuadro Mando Integral Detallado'!J97,'Cuadro Mando Integral Detallado'!J104:J105,'Cuadro Mando Integral Detallado'!J139:J145,'Cuadro Mando Integral Detallado'!J171,'Cuadro Mando Integral Detallado'!J183:J184,'Cuadro Mando Integral Detallado'!J205,'Cuadro Mando Integral Detallado'!J211)/COUNT('Cuadro Mando Integral Detallado'!J97,'Cuadro Mando Integral Detallado'!J104:J105,'Cuadro Mando Integral Detallado'!J139:J145,'Cuadro Mando Integral Detallado'!J171,'Cuadro Mando Integral Detallado'!J183:J184,'Cuadro Mando Integral Detallado'!J205,'Cuadro Mando Integral Detallado'!J211)</f>
        <v>0.87851851851851848</v>
      </c>
      <c r="D9" s="820">
        <f t="shared" si="0"/>
        <v>0.87851851851851848</v>
      </c>
      <c r="E9" s="794">
        <f t="shared" si="1"/>
        <v>0.87851851851851848</v>
      </c>
      <c r="F9" s="794">
        <f t="shared" si="2"/>
        <v>0.87851851851851848</v>
      </c>
      <c r="G9" s="794">
        <f t="shared" si="3"/>
        <v>0.87851851851851848</v>
      </c>
      <c r="H9" s="581">
        <f t="shared" si="4"/>
        <v>0.87851851851851848</v>
      </c>
      <c r="I9" s="827">
        <f>SUM('Cuadro Mando Integral Detallado'!L97,'Cuadro Mando Integral Detallado'!L104:L105,'Cuadro Mando Integral Detallado'!L139:L145,'Cuadro Mando Integral Detallado'!L171,'Cuadro Mando Integral Detallado'!L183:L184,'Cuadro Mando Integral Detallado'!L205,'Cuadro Mando Integral Detallado'!L211)/COUNT('Cuadro Mando Integral Detallado'!L97,'Cuadro Mando Integral Detallado'!L104:L105,'Cuadro Mando Integral Detallado'!L139:L145,'Cuadro Mando Integral Detallado'!L171,'Cuadro Mando Integral Detallado'!L183:L184,'Cuadro Mando Integral Detallado'!L205,'Cuadro Mando Integral Detallado'!L211)</f>
        <v>0.1757037037037037</v>
      </c>
      <c r="J9" s="827">
        <f>SUM('Cuadro Mando Integral Detallado'!M97,'Cuadro Mando Integral Detallado'!M104:M105,'Cuadro Mando Integral Detallado'!M139:M145,'Cuadro Mando Integral Detallado'!M171,'Cuadro Mando Integral Detallado'!M183:M184,'Cuadro Mando Integral Detallado'!M205,'Cuadro Mando Integral Detallado'!M211)/COUNT('Cuadro Mando Integral Detallado'!M97,'Cuadro Mando Integral Detallado'!M104:M105,'Cuadro Mando Integral Detallado'!M139:M145,'Cuadro Mando Integral Detallado'!M171,'Cuadro Mando Integral Detallado'!M183:M184,'Cuadro Mando Integral Detallado'!M205,'Cuadro Mando Integral Detallado'!M211)</f>
        <v>0.21962962962962962</v>
      </c>
      <c r="K9" s="809">
        <f t="shared" si="5"/>
        <v>0.1757037037037037</v>
      </c>
      <c r="L9" s="806">
        <f t="shared" si="6"/>
        <v>0.1757037037037037</v>
      </c>
      <c r="M9" s="806">
        <f t="shared" si="7"/>
        <v>0.1757037037037037</v>
      </c>
      <c r="N9" s="806">
        <f t="shared" si="8"/>
        <v>0.1757037037037037</v>
      </c>
      <c r="O9" s="591">
        <f t="shared" si="9"/>
        <v>0.1757037037037037</v>
      </c>
      <c r="P9" s="163"/>
      <c r="Q9" s="596">
        <f>SUM('Cuadro Mando Integral Detallado'!Q97,'Cuadro Mando Integral Detallado'!Q104:Q105,'Cuadro Mando Integral Detallado'!Q139:Q145,'Cuadro Mando Integral Detallado'!Q171,'Cuadro Mando Integral Detallado'!Q183:Q184,'Cuadro Mando Integral Detallado'!Q205,'Cuadro Mando Integral Detallado'!Q211)/COUNT('Cuadro Mando Integral Detallado'!Q97,'Cuadro Mando Integral Detallado'!Q104:Q105,'Cuadro Mando Integral Detallado'!Q139:Q145,'Cuadro Mando Integral Detallado'!Q171,'Cuadro Mando Integral Detallado'!Q183:Q184,'Cuadro Mando Integral Detallado'!Q205,'Cuadro Mando Integral Detallado'!Q211)</f>
        <v>0.8666666666666667</v>
      </c>
      <c r="R9" s="820">
        <f t="shared" si="10"/>
        <v>0.8666666666666667</v>
      </c>
      <c r="S9" s="794">
        <f t="shared" si="11"/>
        <v>0.8666666666666667</v>
      </c>
      <c r="T9" s="794">
        <f t="shared" si="12"/>
        <v>0.8666666666666667</v>
      </c>
      <c r="U9" s="794">
        <f t="shared" si="13"/>
        <v>0.8666666666666667</v>
      </c>
      <c r="V9" s="581">
        <f t="shared" si="14"/>
        <v>0.8666666666666667</v>
      </c>
      <c r="W9" s="827">
        <f>SUM('Cuadro Mando Integral Detallado'!S97,'Cuadro Mando Integral Detallado'!S104:S105,'Cuadro Mando Integral Detallado'!S139:S145,'Cuadro Mando Integral Detallado'!S171,'Cuadro Mando Integral Detallado'!S183:S184,'Cuadro Mando Integral Detallado'!S205,'Cuadro Mando Integral Detallado'!S211)/COUNT('Cuadro Mando Integral Detallado'!S97,'Cuadro Mando Integral Detallado'!S104:S105,'Cuadro Mando Integral Detallado'!S139:S145,'Cuadro Mando Integral Detallado'!S171,'Cuadro Mando Integral Detallado'!S183:S184,'Cuadro Mando Integral Detallado'!S205,'Cuadro Mando Integral Detallado'!S211)</f>
        <v>0.41014814814814815</v>
      </c>
      <c r="X9" s="827">
        <f>SUM('Cuadro Mando Integral Detallado'!T97,'Cuadro Mando Integral Detallado'!T104:T105,'Cuadro Mando Integral Detallado'!T139:T145,'Cuadro Mando Integral Detallado'!T171,'Cuadro Mando Integral Detallado'!T183:T184,'Cuadro Mando Integral Detallado'!T205,'Cuadro Mando Integral Detallado'!T211)/COUNT('Cuadro Mando Integral Detallado'!T97,'Cuadro Mando Integral Detallado'!T104:T105,'Cuadro Mando Integral Detallado'!T139:T145,'Cuadro Mando Integral Detallado'!T171,'Cuadro Mando Integral Detallado'!T183:T184,'Cuadro Mando Integral Detallado'!T205,'Cuadro Mando Integral Detallado'!T211)</f>
        <v>0.51268518518518513</v>
      </c>
      <c r="Y9" s="809">
        <f t="shared" si="15"/>
        <v>0.41014814814814815</v>
      </c>
      <c r="Z9" s="806">
        <f t="shared" si="16"/>
        <v>0.41014814814814815</v>
      </c>
      <c r="AA9" s="806">
        <f t="shared" si="17"/>
        <v>0.41014814814814815</v>
      </c>
      <c r="AB9" s="806">
        <f t="shared" si="18"/>
        <v>0.41014814814814815</v>
      </c>
      <c r="AC9" s="591">
        <f t="shared" si="19"/>
        <v>0.41014814814814815</v>
      </c>
      <c r="AD9" s="588"/>
      <c r="AE9" s="596">
        <f>SUM('Cuadro Mando Integral Detallado'!X97,'Cuadro Mando Integral Detallado'!X104:X105,'Cuadro Mando Integral Detallado'!X139:X145,'Cuadro Mando Integral Detallado'!X171,'Cuadro Mando Integral Detallado'!X183:X184,'Cuadro Mando Integral Detallado'!X205,'Cuadro Mando Integral Detallado'!X211)/COUNT('Cuadro Mando Integral Detallado'!X97,'Cuadro Mando Integral Detallado'!X104:X105,'Cuadro Mando Integral Detallado'!X139:X145,'Cuadro Mando Integral Detallado'!X171,'Cuadro Mando Integral Detallado'!X183:X184,'Cuadro Mando Integral Detallado'!X205,'Cuadro Mando Integral Detallado'!X211)</f>
        <v>0</v>
      </c>
      <c r="AF9" s="820">
        <f t="shared" si="20"/>
        <v>0</v>
      </c>
      <c r="AG9" s="794">
        <f t="shared" si="21"/>
        <v>0</v>
      </c>
      <c r="AH9" s="794">
        <f t="shared" si="22"/>
        <v>0</v>
      </c>
      <c r="AI9" s="794">
        <f t="shared" si="23"/>
        <v>0</v>
      </c>
      <c r="AJ9" s="581">
        <f t="shared" si="24"/>
        <v>0</v>
      </c>
      <c r="AK9" s="827">
        <f>SUM('Cuadro Mando Integral Detallado'!Z97,'Cuadro Mando Integral Detallado'!Z104:Z105,'Cuadro Mando Integral Detallado'!Z139:Z145,'Cuadro Mando Integral Detallado'!Z171,'Cuadro Mando Integral Detallado'!Z183:Z184,'Cuadro Mando Integral Detallado'!Z205,'Cuadro Mando Integral Detallado'!Z211)/COUNT('Cuadro Mando Integral Detallado'!Z97,'Cuadro Mando Integral Detallado'!Z104:Z105,'Cuadro Mando Integral Detallado'!Z139:Z145,'Cuadro Mando Integral Detallado'!Z171,'Cuadro Mando Integral Detallado'!Z183:Z184,'Cuadro Mando Integral Detallado'!Z205,'Cuadro Mando Integral Detallado'!Z211)</f>
        <v>0.41998428421855988</v>
      </c>
      <c r="AL9" s="827">
        <f>SUM('Cuadro Mando Integral Detallado'!AA97,'Cuadro Mando Integral Detallado'!AA104:AA105,'Cuadro Mando Integral Detallado'!AA139:AA145,'Cuadro Mando Integral Detallado'!AA171,'Cuadro Mando Integral Detallado'!AA183:AA184,'Cuadro Mando Integral Detallado'!AA205,'Cuadro Mando Integral Detallado'!AA211)/COUNT('Cuadro Mando Integral Detallado'!AA97,'Cuadro Mando Integral Detallado'!AA104:AA105,'Cuadro Mando Integral Detallado'!AA139:AA145,'Cuadro Mando Integral Detallado'!AA171,'Cuadro Mando Integral Detallado'!AA183:AA184,'Cuadro Mando Integral Detallado'!AA205,'Cuadro Mando Integral Detallado'!AA211)</f>
        <v>0.52498035527319986</v>
      </c>
      <c r="AM9" s="820">
        <f t="shared" si="25"/>
        <v>0.41998428421855988</v>
      </c>
      <c r="AN9" s="806">
        <f t="shared" si="26"/>
        <v>0.41998428421855988</v>
      </c>
      <c r="AO9" s="806">
        <f t="shared" si="27"/>
        <v>0.41998428421855988</v>
      </c>
      <c r="AP9" s="806">
        <f t="shared" si="28"/>
        <v>0.41998428421855988</v>
      </c>
      <c r="AQ9" s="591">
        <f t="shared" si="29"/>
        <v>0.41998428421855988</v>
      </c>
      <c r="AR9" s="588"/>
      <c r="AS9" s="596">
        <f>SUM('Cuadro Mando Integral Detallado'!AE97,'Cuadro Mando Integral Detallado'!AE104:AE105,'Cuadro Mando Integral Detallado'!AE139:AE145,'Cuadro Mando Integral Detallado'!AE171,'Cuadro Mando Integral Detallado'!AE183:AE184,'Cuadro Mando Integral Detallado'!AE205,'Cuadro Mando Integral Detallado'!AE211)/COUNT('Cuadro Mando Integral Detallado'!AE97,'Cuadro Mando Integral Detallado'!AE104:AE105,'Cuadro Mando Integral Detallado'!AE139:AE145,'Cuadro Mando Integral Detallado'!AE171,'Cuadro Mando Integral Detallado'!AE183:AE184,'Cuadro Mando Integral Detallado'!AE205,'Cuadro Mando Integral Detallado'!AE211)</f>
        <v>0</v>
      </c>
      <c r="AT9" s="820">
        <f t="shared" si="30"/>
        <v>0</v>
      </c>
      <c r="AU9" s="794">
        <f t="shared" si="31"/>
        <v>0</v>
      </c>
      <c r="AV9" s="794">
        <f t="shared" si="32"/>
        <v>0</v>
      </c>
      <c r="AW9" s="794">
        <f t="shared" si="33"/>
        <v>0</v>
      </c>
      <c r="AX9" s="581">
        <f t="shared" si="34"/>
        <v>0</v>
      </c>
      <c r="AY9" s="824">
        <f>SUM('Cuadro Mando Integral Detallado'!AG97,'Cuadro Mando Integral Detallado'!AG104:AG105,'Cuadro Mando Integral Detallado'!AG139:AG145,'Cuadro Mando Integral Detallado'!AG171,'Cuadro Mando Integral Detallado'!AG183:AG184,'Cuadro Mando Integral Detallado'!AG205,'Cuadro Mando Integral Detallado'!AG211)/COUNT('Cuadro Mando Integral Detallado'!AG97,'Cuadro Mando Integral Detallado'!AG104:AG105,'Cuadro Mando Integral Detallado'!AG139:AG145,'Cuadro Mando Integral Detallado'!AG171,'Cuadro Mando Integral Detallado'!AG183:AG184,'Cuadro Mando Integral Detallado'!AG205,'Cuadro Mando Integral Detallado'!AG211)</f>
        <v>0.41998428421855988</v>
      </c>
      <c r="AZ9" s="820">
        <f t="shared" si="39"/>
        <v>0.41998428421855988</v>
      </c>
      <c r="BA9" s="806">
        <f t="shared" si="35"/>
        <v>0.41998428421855988</v>
      </c>
      <c r="BB9" s="806">
        <f t="shared" si="36"/>
        <v>0.41998428421855988</v>
      </c>
      <c r="BC9" s="806">
        <f t="shared" si="37"/>
        <v>0.41998428421855988</v>
      </c>
      <c r="BD9" s="591">
        <f t="shared" si="38"/>
        <v>0.41998428421855988</v>
      </c>
    </row>
    <row r="10" spans="1:56" ht="54" x14ac:dyDescent="0.25">
      <c r="A10" s="292" t="s">
        <v>830</v>
      </c>
      <c r="B10" s="437"/>
      <c r="C10" s="596">
        <f>SUM('Cuadro Mando Integral Detallado'!J66:J76,'Cuadro Mando Integral Detallado'!J172,'Cuadro Mando Integral Detallado'!J185:J186,'Cuadro Mando Integral Detallado'!J207:J209)/COUNT('Cuadro Mando Integral Detallado'!J66:J76,'Cuadro Mando Integral Detallado'!J172,'Cuadro Mando Integral Detallado'!J185:J186,'Cuadro Mando Integral Detallado'!J207:J209)</f>
        <v>0.7640607510235955</v>
      </c>
      <c r="D10" s="820">
        <f t="shared" si="0"/>
        <v>0.7640607510235955</v>
      </c>
      <c r="E10" s="794">
        <f t="shared" si="1"/>
        <v>0.7640607510235955</v>
      </c>
      <c r="F10" s="794">
        <f t="shared" si="2"/>
        <v>0.7640607510235955</v>
      </c>
      <c r="G10" s="794">
        <f t="shared" si="3"/>
        <v>0.7640607510235955</v>
      </c>
      <c r="H10" s="581">
        <f t="shared" si="4"/>
        <v>0.7640607510235955</v>
      </c>
      <c r="I10" s="827">
        <f>SUM('Cuadro Mando Integral Detallado'!L66:L76,'Cuadro Mando Integral Detallado'!L172,'Cuadro Mando Integral Detallado'!L185:L186,'Cuadro Mando Integral Detallado'!L207:L209)/COUNT('Cuadro Mando Integral Detallado'!L66:L76,'Cuadro Mando Integral Detallado'!L172,'Cuadro Mando Integral Detallado'!L185:L186,'Cuadro Mando Integral Detallado'!L207:L209)</f>
        <v>8.2021192868737797E-2</v>
      </c>
      <c r="J10" s="827">
        <f>SUM('Cuadro Mando Integral Detallado'!M66:M76,'Cuadro Mando Integral Detallado'!M172,'Cuadro Mando Integral Detallado'!M185:M186,'Cuadro Mando Integral Detallado'!M207:M209)/COUNT('Cuadro Mando Integral Detallado'!M66:M76,'Cuadro Mando Integral Detallado'!M172,'Cuadro Mando Integral Detallado'!M185:M186,'Cuadro Mando Integral Detallado'!M207:M209)</f>
        <v>0.12676002534259478</v>
      </c>
      <c r="K10" s="809">
        <f t="shared" si="5"/>
        <v>8.2021192868737797E-2</v>
      </c>
      <c r="L10" s="806">
        <f t="shared" si="6"/>
        <v>8.2021192868737797E-2</v>
      </c>
      <c r="M10" s="806">
        <f t="shared" si="7"/>
        <v>8.2021192868737797E-2</v>
      </c>
      <c r="N10" s="806">
        <f t="shared" si="8"/>
        <v>8.2021192868737797E-2</v>
      </c>
      <c r="O10" s="591">
        <f t="shared" si="9"/>
        <v>8.2021192868737797E-2</v>
      </c>
      <c r="P10" s="163"/>
      <c r="Q10" s="596">
        <f>SUM('Cuadro Mando Integral Detallado'!Q66:Q76,'Cuadro Mando Integral Detallado'!Q172,'Cuadro Mando Integral Detallado'!Q185:Q186,'Cuadro Mando Integral Detallado'!Q207:Q209)/COUNT('Cuadro Mando Integral Detallado'!Q66:Q76,'Cuadro Mando Integral Detallado'!Q172,'Cuadro Mando Integral Detallado'!Q185:Q186,'Cuadro Mando Integral Detallado'!Q207:Q209)</f>
        <v>0.66991280345303661</v>
      </c>
      <c r="R10" s="820">
        <f t="shared" si="10"/>
        <v>0.66991280345303661</v>
      </c>
      <c r="S10" s="794">
        <f t="shared" si="11"/>
        <v>0.66991280345303661</v>
      </c>
      <c r="T10" s="794">
        <f t="shared" si="12"/>
        <v>0.66991280345303661</v>
      </c>
      <c r="U10" s="794">
        <f t="shared" si="13"/>
        <v>0.66991280345303661</v>
      </c>
      <c r="V10" s="581">
        <f t="shared" si="14"/>
        <v>0.66991280345303661</v>
      </c>
      <c r="W10" s="827">
        <f>SUM('Cuadro Mando Integral Detallado'!S66:S76,'Cuadro Mando Integral Detallado'!S172,'Cuadro Mando Integral Detallado'!S185:S186,'Cuadro Mando Integral Detallado'!S207:S209)/COUNT('Cuadro Mando Integral Detallado'!S66:S76,'Cuadro Mando Integral Detallado'!S172,'Cuadro Mando Integral Detallado'!S185:S186,'Cuadro Mando Integral Detallado'!S207:S209)</f>
        <v>0.24659400089658573</v>
      </c>
      <c r="X10" s="827">
        <f>SUM('Cuadro Mando Integral Detallado'!T66:T76,'Cuadro Mando Integral Detallado'!T172,'Cuadro Mando Integral Detallado'!T185:T186,'Cuadro Mando Integral Detallado'!T207:T209)/COUNT('Cuadro Mando Integral Detallado'!T66:T76,'Cuadro Mando Integral Detallado'!T172,'Cuadro Mando Integral Detallado'!T185:T186,'Cuadro Mando Integral Detallado'!T207:T209)</f>
        <v>0.2994355725172827</v>
      </c>
      <c r="Y10" s="809">
        <f t="shared" si="15"/>
        <v>0.24659400089658573</v>
      </c>
      <c r="Z10" s="806">
        <f t="shared" si="16"/>
        <v>0.24659400089658573</v>
      </c>
      <c r="AA10" s="806">
        <f t="shared" si="17"/>
        <v>0.24659400089658573</v>
      </c>
      <c r="AB10" s="806">
        <f t="shared" si="18"/>
        <v>0.24659400089658573</v>
      </c>
      <c r="AC10" s="591">
        <f t="shared" si="19"/>
        <v>0.24659400089658573</v>
      </c>
      <c r="AD10" s="588"/>
      <c r="AE10" s="596">
        <f>SUM('Cuadro Mando Integral Detallado'!X66:X76,'Cuadro Mando Integral Detallado'!X172,'Cuadro Mando Integral Detallado'!X185:X186,'Cuadro Mando Integral Detallado'!X207:X209)/COUNT('Cuadro Mando Integral Detallado'!X66:X76,'Cuadro Mando Integral Detallado'!X172,'Cuadro Mando Integral Detallado'!X185:X186,'Cuadro Mando Integral Detallado'!X207:X209)</f>
        <v>0</v>
      </c>
      <c r="AF10" s="820">
        <f t="shared" si="20"/>
        <v>0</v>
      </c>
      <c r="AG10" s="794">
        <f t="shared" si="21"/>
        <v>0</v>
      </c>
      <c r="AH10" s="794">
        <f t="shared" si="22"/>
        <v>0</v>
      </c>
      <c r="AI10" s="794">
        <f t="shared" si="23"/>
        <v>0</v>
      </c>
      <c r="AJ10" s="581">
        <f t="shared" si="24"/>
        <v>0</v>
      </c>
      <c r="AK10" s="827">
        <f>SUM('Cuadro Mando Integral Detallado'!Z66:Z76,'Cuadro Mando Integral Detallado'!Z172,'Cuadro Mando Integral Detallado'!Z185:Z186,'Cuadro Mando Integral Detallado'!Z207:Z209)/COUNT('Cuadro Mando Integral Detallado'!Z66:Z76,'Cuadro Mando Integral Detallado'!Z172,'Cuadro Mando Integral Detallado'!Y185:Z186,'Cuadro Mando Integral Detallado'!Z207:Z209)</f>
        <v>0.22063673764431355</v>
      </c>
      <c r="AL10" s="827">
        <f>SUM('Cuadro Mando Integral Detallado'!AA66:AA76,'Cuadro Mando Integral Detallado'!AA172,'Cuadro Mando Integral Detallado'!AA185:AA186,'Cuadro Mando Integral Detallado'!AA207:AA209)/COUNT('Cuadro Mando Integral Detallado'!AA66:AA76,'Cuadro Mando Integral Detallado'!AA172,'Cuadro Mando Integral Detallado'!Z185:AA186,'Cuadro Mando Integral Detallado'!AA207:AA209)</f>
        <v>0.23289433418010874</v>
      </c>
      <c r="AM10" s="820">
        <f t="shared" si="25"/>
        <v>0.22063673764431355</v>
      </c>
      <c r="AN10" s="806">
        <f t="shared" si="26"/>
        <v>0.22063673764431355</v>
      </c>
      <c r="AO10" s="806">
        <f t="shared" si="27"/>
        <v>0.22063673764431355</v>
      </c>
      <c r="AP10" s="806">
        <f t="shared" si="28"/>
        <v>0.22063673764431355</v>
      </c>
      <c r="AQ10" s="591">
        <f t="shared" si="29"/>
        <v>0.22063673764431355</v>
      </c>
      <c r="AR10" s="588"/>
      <c r="AS10" s="596">
        <f>SUM('Cuadro Mando Integral Detallado'!AE66:AE76,'Cuadro Mando Integral Detallado'!AE172,'Cuadro Mando Integral Detallado'!AE185:AE186,'Cuadro Mando Integral Detallado'!AE207:AE209)/COUNT('Cuadro Mando Integral Detallado'!AE66:AE76,'Cuadro Mando Integral Detallado'!AE172,'Cuadro Mando Integral Detallado'!AE185:AE186,'Cuadro Mando Integral Detallado'!AE207:AE209)</f>
        <v>0</v>
      </c>
      <c r="AT10" s="820">
        <f t="shared" si="30"/>
        <v>0</v>
      </c>
      <c r="AU10" s="794">
        <f t="shared" si="31"/>
        <v>0</v>
      </c>
      <c r="AV10" s="794">
        <f t="shared" si="32"/>
        <v>0</v>
      </c>
      <c r="AW10" s="794">
        <f t="shared" si="33"/>
        <v>0</v>
      </c>
      <c r="AX10" s="581">
        <f t="shared" si="34"/>
        <v>0</v>
      </c>
      <c r="AY10" s="824">
        <f>SUM('Cuadro Mando Integral Detallado'!AG66:AG76,'Cuadro Mando Integral Detallado'!AG172,'Cuadro Mando Integral Detallado'!AF185:AG186,'Cuadro Mando Integral Detallado'!AG207:AG209)/COUNT('Cuadro Mando Integral Detallado'!AG66:AG76,'Cuadro Mando Integral Detallado'!AG172,'Cuadro Mando Integral Detallado'!AG185:AG186,'Cuadro Mando Integral Detallado'!AG207:AG209)</f>
        <v>0.30541526786491152</v>
      </c>
      <c r="AZ10" s="820">
        <f t="shared" si="39"/>
        <v>0.30541526786491152</v>
      </c>
      <c r="BA10" s="806">
        <f t="shared" si="35"/>
        <v>0.30541526786491152</v>
      </c>
      <c r="BB10" s="806">
        <f t="shared" si="36"/>
        <v>0.30541526786491152</v>
      </c>
      <c r="BC10" s="806">
        <f t="shared" si="37"/>
        <v>0.30541526786491152</v>
      </c>
      <c r="BD10" s="591">
        <f t="shared" si="38"/>
        <v>0.30541526786491152</v>
      </c>
    </row>
    <row r="11" spans="1:56" ht="36" x14ac:dyDescent="0.25">
      <c r="A11" s="296" t="s">
        <v>29</v>
      </c>
      <c r="B11" s="437"/>
      <c r="C11" s="596">
        <f>SUM('Cuadro Mando Integral Detallado'!J15, 'Cuadro Mando Integral Detallado'!J18:J31,'Cuadro Mando Integral Detallado'!J108:J111,'Cuadro Mando Integral Detallado'!J113:J114,'Cuadro Mando Integral Detallado'!J187:J195,'Cuadro Mando Integral Detallado'!J220:J221)/COUNT('Cuadro Mando Integral Detallado'!J15, 'Cuadro Mando Integral Detallado'!J18:J31,'Cuadro Mando Integral Detallado'!J108:J111,'Cuadro Mando Integral Detallado'!J113:J114,'Cuadro Mando Integral Detallado'!J187:J195,'Cuadro Mando Integral Detallado'!J220:J221)</f>
        <v>0.75979632583203127</v>
      </c>
      <c r="D11" s="820">
        <f t="shared" si="0"/>
        <v>0.75979632583203127</v>
      </c>
      <c r="E11" s="794">
        <f t="shared" si="1"/>
        <v>0.75979632583203127</v>
      </c>
      <c r="F11" s="794">
        <f t="shared" si="2"/>
        <v>0.75979632583203127</v>
      </c>
      <c r="G11" s="794">
        <f t="shared" si="3"/>
        <v>0.75979632583203127</v>
      </c>
      <c r="H11" s="581">
        <f t="shared" si="4"/>
        <v>0.75979632583203127</v>
      </c>
      <c r="I11" s="827">
        <f>SUM('Cuadro Mando Integral Detallado'!L15,'Cuadro Mando Integral Detallado'!L18:L31,'Cuadro Mando Integral Detallado'!L108:L111,'Cuadro Mando Integral Detallado'!L113:L114,'Cuadro Mando Integral Detallado'!L187:L195,'Cuadro Mando Integral Detallado'!L220:L221)/COUNT('Cuadro Mando Integral Detallado'!L15, 'Cuadro Mando Integral Detallado'!L18:L31,'Cuadro Mando Integral Detallado'!L108:L111,'Cuadro Mando Integral Detallado'!L113:L114,'Cuadro Mando Integral Detallado'!L187:L195,'Cuadro Mando Integral Detallado'!L220:L221)</f>
        <v>0.17161292400648617</v>
      </c>
      <c r="J11" s="827">
        <f>SUM('Cuadro Mando Integral Detallado'!M15,'Cuadro Mando Integral Detallado'!M18:M31,'Cuadro Mando Integral Detallado'!M108:M111,'Cuadro Mando Integral Detallado'!M113:M114,'Cuadro Mando Integral Detallado'!M187:M195,'Cuadro Mando Integral Detallado'!M220:M221)/COUNT('Cuadro Mando Integral Detallado'!M15, 'Cuadro Mando Integral Detallado'!M18:M31,'Cuadro Mando Integral Detallado'!M108:M111,'Cuadro Mando Integral Detallado'!M113:M114,'Cuadro Mando Integral Detallado'!M187:M195,'Cuadro Mando Integral Detallado'!M220:M221)</f>
        <v>0.17714882478088895</v>
      </c>
      <c r="K11" s="809">
        <f>+I11</f>
        <v>0.17161292400648617</v>
      </c>
      <c r="L11" s="806">
        <f t="shared" si="6"/>
        <v>0.17161292400648617</v>
      </c>
      <c r="M11" s="806">
        <f t="shared" si="7"/>
        <v>0.17161292400648617</v>
      </c>
      <c r="N11" s="806">
        <f t="shared" si="8"/>
        <v>0.17161292400648617</v>
      </c>
      <c r="O11" s="591">
        <f t="shared" si="9"/>
        <v>0.17161292400648617</v>
      </c>
      <c r="P11" s="163"/>
      <c r="Q11" s="596">
        <f>SUM('Cuadro Mando Integral Detallado'!Q15, 'Cuadro Mando Integral Detallado'!Q18:Q31,'Cuadro Mando Integral Detallado'!Q108:Q111,'Cuadro Mando Integral Detallado'!Q113:Q114,'Cuadro Mando Integral Detallado'!Q187:Q195,'Cuadro Mando Integral Detallado'!Q220:Q221)/COUNT('Cuadro Mando Integral Detallado'!Q15, 'Cuadro Mando Integral Detallado'!Q18:Q31,'Cuadro Mando Integral Detallado'!Q108:Q111,'Cuadro Mando Integral Detallado'!Q113:Q114,'Cuadro Mando Integral Detallado'!Q187:Q195,'Cuadro Mando Integral Detallado'!Q220:Q221)</f>
        <v>0.71672041960097066</v>
      </c>
      <c r="R11" s="820">
        <f t="shared" si="10"/>
        <v>0.71672041960097066</v>
      </c>
      <c r="S11" s="794">
        <f t="shared" si="11"/>
        <v>0.71672041960097066</v>
      </c>
      <c r="T11" s="794">
        <f t="shared" si="12"/>
        <v>0.71672041960097066</v>
      </c>
      <c r="U11" s="794">
        <f t="shared" si="13"/>
        <v>0.71672041960097066</v>
      </c>
      <c r="V11" s="581">
        <f t="shared" si="14"/>
        <v>0.71672041960097066</v>
      </c>
      <c r="W11" s="827">
        <f>SUM('Cuadro Mando Integral Detallado'!S15,'Cuadro Mando Integral Detallado'!S18:S31,'Cuadro Mando Integral Detallado'!S108:S111,'Cuadro Mando Integral Detallado'!S113:S114,'Cuadro Mando Integral Detallado'!S187:S195,'Cuadro Mando Integral Detallado'!S220:S221)/COUNT('Cuadro Mando Integral Detallado'!S15, 'Cuadro Mando Integral Detallado'!S18:S31,'Cuadro Mando Integral Detallado'!S108:S111,'Cuadro Mando Integral Detallado'!S113:S114,'Cuadro Mando Integral Detallado'!S187:S195,'Cuadro Mando Integral Detallado'!S220:S221)</f>
        <v>0.36735792024605918</v>
      </c>
      <c r="X11" s="827">
        <f>SUM('Cuadro Mando Integral Detallado'!T15,'Cuadro Mando Integral Detallado'!T18:T31,'Cuadro Mando Integral Detallado'!T108:T111,'Cuadro Mando Integral Detallado'!T113:T114,'Cuadro Mando Integral Detallado'!T187:T195,'Cuadro Mando Integral Detallado'!T220:T221)/COUNT('Cuadro Mando Integral Detallado'!T15, 'Cuadro Mando Integral Detallado'!T18:T31,'Cuadro Mando Integral Detallado'!T108:T111,'Cuadro Mando Integral Detallado'!T113:T114,'Cuadro Mando Integral Detallado'!T187:T195,'Cuadro Mando Integral Detallado'!T220:T221)</f>
        <v>0.37920817573786753</v>
      </c>
      <c r="Y11" s="809">
        <f t="shared" si="15"/>
        <v>0.36735792024605918</v>
      </c>
      <c r="Z11" s="806">
        <f t="shared" si="16"/>
        <v>0.36735792024605918</v>
      </c>
      <c r="AA11" s="806">
        <f t="shared" si="17"/>
        <v>0.36735792024605918</v>
      </c>
      <c r="AB11" s="806">
        <f t="shared" si="18"/>
        <v>0.36735792024605918</v>
      </c>
      <c r="AC11" s="591">
        <f t="shared" si="19"/>
        <v>0.36735792024605918</v>
      </c>
      <c r="AD11" s="588"/>
      <c r="AE11" s="596">
        <f>SUM('Cuadro Mando Integral Detallado'!X15,'Cuadro Mando Integral Detallado'!X18:X31,'Cuadro Mando Integral Detallado'!X108:X111,'Cuadro Mando Integral Detallado'!X113:X114,'Cuadro Mando Integral Detallado'!X187:X195,'Cuadro Mando Integral Detallado'!X220:X221)/COUNT('Cuadro Mando Integral Detallado'!X15,'Cuadro Mando Integral Detallado'!X18:X31,'Cuadro Mando Integral Detallado'!X108:X111,'Cuadro Mando Integral Detallado'!X113:X114,'Cuadro Mando Integral Detallado'!X187:X195,'Cuadro Mando Integral Detallado'!X220:X221)</f>
        <v>0</v>
      </c>
      <c r="AF11" s="820">
        <f t="shared" si="20"/>
        <v>0</v>
      </c>
      <c r="AG11" s="794">
        <f t="shared" si="21"/>
        <v>0</v>
      </c>
      <c r="AH11" s="794">
        <f t="shared" si="22"/>
        <v>0</v>
      </c>
      <c r="AI11" s="794">
        <f t="shared" si="23"/>
        <v>0</v>
      </c>
      <c r="AJ11" s="581">
        <f t="shared" si="24"/>
        <v>0</v>
      </c>
      <c r="AK11" s="827">
        <f>SUM('Cuadro Mando Integral Detallado'!Z15,'Cuadro Mando Integral Detallado'!Z18:Z31,'Cuadro Mando Integral Detallado'!Z108:Z111,'Cuadro Mando Integral Detallado'!Z113:Z114,'Cuadro Mando Integral Detallado'!Z187:Z195,'Cuadro Mando Integral Detallado'!Z220:Z221)/COUNT('Cuadro Mando Integral Detallado'!Z15,'Cuadro Mando Integral Detallado'!Z18:Z31,'Cuadro Mando Integral Detallado'!Z108:Z111,'Cuadro Mando Integral Detallado'!Z113:Z114,'Cuadro Mando Integral Detallado'!Z187:Z195,'Cuadro Mando Integral Detallado'!Z220:Z221)</f>
        <v>0.38641738406358594</v>
      </c>
      <c r="AL11" s="827">
        <f>SUM('Cuadro Mando Integral Detallado'!AA15,'Cuadro Mando Integral Detallado'!AA18:AA31,'Cuadro Mando Integral Detallado'!AA108:AA111,'Cuadro Mando Integral Detallado'!AA113:AA114,'Cuadro Mando Integral Detallado'!AA187:AA195,'Cuadro Mando Integral Detallado'!AA220:AA221)/COUNT('Cuadro Mando Integral Detallado'!AA15,'Cuadro Mando Integral Detallado'!AA18:AA31,'Cuadro Mando Integral Detallado'!AA108:AA111,'Cuadro Mando Integral Detallado'!AA113:AA114,'Cuadro Mando Integral Detallado'!AA187:AA195,'Cuadro Mando Integral Detallado'!AA220:AA221)</f>
        <v>0.39888246096886293</v>
      </c>
      <c r="AM11" s="820">
        <f t="shared" si="25"/>
        <v>0.38641738406358594</v>
      </c>
      <c r="AN11" s="806">
        <f t="shared" si="26"/>
        <v>0.38641738406358594</v>
      </c>
      <c r="AO11" s="806">
        <f t="shared" si="27"/>
        <v>0.38641738406358594</v>
      </c>
      <c r="AP11" s="806">
        <f t="shared" si="28"/>
        <v>0.38641738406358594</v>
      </c>
      <c r="AQ11" s="591">
        <f t="shared" si="29"/>
        <v>0.38641738406358594</v>
      </c>
      <c r="AR11" s="588"/>
      <c r="AS11" s="596">
        <f>SUM('Cuadro Mando Integral Detallado'!AE15,'Cuadro Mando Integral Detallado'!AE18:AE31,'Cuadro Mando Integral Detallado'!AE108:AE111,'Cuadro Mando Integral Detallado'!AE113:AE114,'Cuadro Mando Integral Detallado'!AE187:AE195,'Cuadro Mando Integral Detallado'!AE220:AE221)/COUNT('Cuadro Mando Integral Detallado'!AE15,'Cuadro Mando Integral Detallado'!AE18:AE31,'Cuadro Mando Integral Detallado'!AE108:AE111,'Cuadro Mando Integral Detallado'!AE113:AE114,'Cuadro Mando Integral Detallado'!AE187:AE195,'Cuadro Mando Integral Detallado'!AE220:AE221)</f>
        <v>0</v>
      </c>
      <c r="AT11" s="820">
        <f t="shared" si="30"/>
        <v>0</v>
      </c>
      <c r="AU11" s="794">
        <f t="shared" si="31"/>
        <v>0</v>
      </c>
      <c r="AV11" s="794">
        <f t="shared" si="32"/>
        <v>0</v>
      </c>
      <c r="AW11" s="794">
        <f t="shared" si="33"/>
        <v>0</v>
      </c>
      <c r="AX11" s="581">
        <f t="shared" si="34"/>
        <v>0</v>
      </c>
      <c r="AY11" s="824">
        <f>SUM('Cuadro Mando Integral Detallado'!AG15,'Cuadro Mando Integral Detallado'!AG18:AG31,'Cuadro Mando Integral Detallado'!AG108:AG111,'Cuadro Mando Integral Detallado'!AG113:AG114,'Cuadro Mando Integral Detallado'!AG187:AG195,'Cuadro Mando Integral Detallado'!AG220:AG221)/COUNT('Cuadro Mando Integral Detallado'!AG15,'Cuadro Mando Integral Detallado'!AG18:AG31,'Cuadro Mando Integral Detallado'!AG108:AG111,'Cuadro Mando Integral Detallado'!AG113:AG114,'Cuadro Mando Integral Detallado'!AG187:AG195,'Cuadro Mando Integral Detallado'!AG220:AG221)</f>
        <v>0.39757040130496535</v>
      </c>
      <c r="AZ11" s="820">
        <f t="shared" si="39"/>
        <v>0.39757040130496535</v>
      </c>
      <c r="BA11" s="806">
        <f t="shared" si="35"/>
        <v>0.39757040130496535</v>
      </c>
      <c r="BB11" s="806">
        <f t="shared" si="36"/>
        <v>0.39757040130496535</v>
      </c>
      <c r="BC11" s="806">
        <f t="shared" si="37"/>
        <v>0.39757040130496535</v>
      </c>
      <c r="BD11" s="591">
        <f t="shared" si="38"/>
        <v>0.39757040130496535</v>
      </c>
    </row>
    <row r="12" spans="1:56" ht="36" x14ac:dyDescent="0.25">
      <c r="A12" s="296" t="s">
        <v>831</v>
      </c>
      <c r="B12" s="437"/>
      <c r="C12" s="596">
        <f>SUM('Cuadro Mando Integral Detallado'!J36,'Cuadro Mando Integral Detallado'!J121:J122,'Cuadro Mando Integral Detallado'!J176)/COUNT('Cuadro Mando Integral Detallado'!J36,'Cuadro Mando Integral Detallado'!J121:J122,'Cuadro Mando Integral Detallado'!J176)</f>
        <v>0.84814814021705642</v>
      </c>
      <c r="D12" s="820">
        <f t="shared" si="0"/>
        <v>0.84814814021705642</v>
      </c>
      <c r="E12" s="794">
        <f t="shared" si="1"/>
        <v>0.84814814021705642</v>
      </c>
      <c r="F12" s="794">
        <f t="shared" si="2"/>
        <v>0.84814814021705642</v>
      </c>
      <c r="G12" s="794">
        <f t="shared" si="3"/>
        <v>0.84814814021705642</v>
      </c>
      <c r="H12" s="581">
        <f t="shared" si="4"/>
        <v>0.84814814021705642</v>
      </c>
      <c r="I12" s="827">
        <f>SUM('Cuadro Mando Integral Detallado'!L36,'Cuadro Mando Integral Detallado'!L121:L122,'Cuadro Mando Integral Detallado'!L176)/COUNT('Cuadro Mando Integral Detallado'!L36,'Cuadro Mando Integral Detallado'!L121:L122,'Cuadro Mando Integral Detallado'!L176)</f>
        <v>0.15902777629069809</v>
      </c>
      <c r="J12" s="827">
        <f>SUM('Cuadro Mando Integral Detallado'!M36,'Cuadro Mando Integral Detallado'!M121:M122,'Cuadro Mando Integral Detallado'!M176)/COUNT('Cuadro Mando Integral Detallado'!M36,'Cuadro Mando Integral Detallado'!M121:M122,'Cuadro Mando Integral Detallado'!M176)</f>
        <v>0.21203703505426411</v>
      </c>
      <c r="K12" s="809">
        <f t="shared" si="5"/>
        <v>0.15902777629069809</v>
      </c>
      <c r="L12" s="806">
        <f t="shared" si="6"/>
        <v>0.15902777629069809</v>
      </c>
      <c r="M12" s="806">
        <f t="shared" si="7"/>
        <v>0.15902777629069809</v>
      </c>
      <c r="N12" s="806">
        <f t="shared" si="8"/>
        <v>0.15902777629069809</v>
      </c>
      <c r="O12" s="591">
        <f t="shared" si="9"/>
        <v>0.15902777629069809</v>
      </c>
      <c r="P12" s="163"/>
      <c r="Q12" s="596">
        <f>SUM('Cuadro Mando Integral Detallado'!Q36,'Cuadro Mando Integral Detallado'!Q121:Q122,'Cuadro Mando Integral Detallado'!Q176)/COUNT('Cuadro Mando Integral Detallado'!Q36,'Cuadro Mando Integral Detallado'!Q121:Q122,'Cuadro Mando Integral Detallado'!Q176)</f>
        <v>1</v>
      </c>
      <c r="R12" s="820">
        <f t="shared" si="10"/>
        <v>1</v>
      </c>
      <c r="S12" s="794">
        <f t="shared" si="11"/>
        <v>1</v>
      </c>
      <c r="T12" s="794">
        <f t="shared" si="12"/>
        <v>1</v>
      </c>
      <c r="U12" s="794">
        <f t="shared" si="13"/>
        <v>1</v>
      </c>
      <c r="V12" s="581">
        <f t="shared" si="14"/>
        <v>1</v>
      </c>
      <c r="W12" s="827">
        <f>SUM('Cuadro Mando Integral Detallado'!S36,'Cuadro Mando Integral Detallado'!S121:S122,'Cuadro Mando Integral Detallado'!S176)/COUNT('Cuadro Mando Integral Detallado'!S36,'Cuadro Mando Integral Detallado'!S121:S122,'Cuadro Mando Integral Detallado'!S176)</f>
        <v>0.47152777629069809</v>
      </c>
      <c r="X12" s="827">
        <f>SUM('Cuadro Mando Integral Detallado'!T36,'Cuadro Mando Integral Detallado'!T121:T122,'Cuadro Mando Integral Detallado'!T176)/COUNT('Cuadro Mando Integral Detallado'!T36,'Cuadro Mando Integral Detallado'!T121:T122,'Cuadro Mando Integral Detallado'!T176)</f>
        <v>0.47152777629069809</v>
      </c>
      <c r="Y12" s="809">
        <f t="shared" si="15"/>
        <v>0.47152777629069809</v>
      </c>
      <c r="Z12" s="806">
        <f t="shared" si="16"/>
        <v>0.47152777629069809</v>
      </c>
      <c r="AA12" s="806">
        <f t="shared" si="17"/>
        <v>0.47152777629069809</v>
      </c>
      <c r="AB12" s="806">
        <f t="shared" si="18"/>
        <v>0.47152777629069809</v>
      </c>
      <c r="AC12" s="591">
        <f t="shared" si="19"/>
        <v>0.47152777629069809</v>
      </c>
      <c r="AD12" s="588"/>
      <c r="AE12" s="596">
        <f>SUM('Cuadro Mando Integral Detallado'!X36,'Cuadro Mando Integral Detallado'!X121:X122,'Cuadro Mando Integral Detallado'!X176)/COUNT('Cuadro Mando Integral Detallado'!X36,'Cuadro Mando Integral Detallado'!X121:X122,'Cuadro Mando Integral Detallado'!X176)</f>
        <v>0</v>
      </c>
      <c r="AF12" s="820">
        <f t="shared" si="20"/>
        <v>0</v>
      </c>
      <c r="AG12" s="794">
        <f t="shared" si="21"/>
        <v>0</v>
      </c>
      <c r="AH12" s="794">
        <f t="shared" si="22"/>
        <v>0</v>
      </c>
      <c r="AI12" s="794">
        <f t="shared" si="23"/>
        <v>0</v>
      </c>
      <c r="AJ12" s="581">
        <f t="shared" si="24"/>
        <v>0</v>
      </c>
      <c r="AK12" s="827">
        <f>SUM('Cuadro Mando Integral Detallado'!Z36,'Cuadro Mando Integral Detallado'!Z121:Z122,'Cuadro Mando Integral Detallado'!Z176)/COUNT('Cuadro Mando Integral Detallado'!Z36,'Cuadro Mando Integral Detallado'!Z121:Z122,'Cuadro Mando Integral Detallado'!Z176)</f>
        <v>0.59652777629069809</v>
      </c>
      <c r="AL12" s="827">
        <f>SUM('Cuadro Mando Integral Detallado'!AA36,'Cuadro Mando Integral Detallado'!AA121:AA122,'Cuadro Mando Integral Detallado'!AA176)/COUNT('Cuadro Mando Integral Detallado'!AA36,'Cuadro Mando Integral Detallado'!AA121:AA122,'Cuadro Mando Integral Detallado'!AA176)</f>
        <v>0.59652777629069809</v>
      </c>
      <c r="AM12" s="820">
        <f>+AK12</f>
        <v>0.59652777629069809</v>
      </c>
      <c r="AN12" s="806">
        <f t="shared" si="26"/>
        <v>0.59652777629069809</v>
      </c>
      <c r="AO12" s="806">
        <f t="shared" si="27"/>
        <v>0.59652777629069809</v>
      </c>
      <c r="AP12" s="806">
        <f t="shared" si="28"/>
        <v>0.59652777629069809</v>
      </c>
      <c r="AQ12" s="591">
        <f t="shared" si="29"/>
        <v>0.59652777629069809</v>
      </c>
      <c r="AR12" s="588"/>
      <c r="AS12" s="596">
        <f>SUM('Cuadro Mando Integral Detallado'!AE36,'Cuadro Mando Integral Detallado'!AE121:AE122,'Cuadro Mando Integral Detallado'!AE176)/COUNT('Cuadro Mando Integral Detallado'!AD36,'Cuadro Mando Integral Detallado'!AD121:AD122,'Cuadro Mando Integral Detallado'!AD176)</f>
        <v>0</v>
      </c>
      <c r="AT12" s="820">
        <f t="shared" si="30"/>
        <v>0</v>
      </c>
      <c r="AU12" s="794">
        <f t="shared" si="31"/>
        <v>0</v>
      </c>
      <c r="AV12" s="794">
        <f t="shared" si="32"/>
        <v>0</v>
      </c>
      <c r="AW12" s="794">
        <f t="shared" si="33"/>
        <v>0</v>
      </c>
      <c r="AX12" s="581">
        <f t="shared" si="34"/>
        <v>0</v>
      </c>
      <c r="AY12" s="824">
        <f>SUM('Cuadro Mando Integral Detallado'!AG36,'Cuadro Mando Integral Detallado'!AG121:AG122,'Cuadro Mando Integral Detallado'!AG176)/COUNT('Cuadro Mando Integral Detallado'!AG36,'Cuadro Mando Integral Detallado'!AG121:AG122,'Cuadro Mando Integral Detallado'!AG176)</f>
        <v>0.59652777629069809</v>
      </c>
      <c r="AZ12" s="820">
        <f>+AY12</f>
        <v>0.59652777629069809</v>
      </c>
      <c r="BA12" s="806">
        <f t="shared" si="35"/>
        <v>0.59652777629069809</v>
      </c>
      <c r="BB12" s="806">
        <f t="shared" si="36"/>
        <v>0.59652777629069809</v>
      </c>
      <c r="BC12" s="806">
        <f t="shared" si="37"/>
        <v>0.59652777629069809</v>
      </c>
      <c r="BD12" s="591">
        <f t="shared" si="38"/>
        <v>0.59652777629069809</v>
      </c>
    </row>
    <row r="13" spans="1:56" ht="18" x14ac:dyDescent="0.25">
      <c r="A13" s="296" t="s">
        <v>349</v>
      </c>
      <c r="B13" s="437"/>
      <c r="C13" s="596">
        <f>SUM('Cuadro Mando Integral Detallado'!J78:J96,'Cuadro Mando Integral Detallado'!J156:J166,'Cuadro Mando Integral Detallado'!J175,'Cuadro Mando Integral Detallado'!J201:J202,'Cuadro Mando Integral Detallado'!D212:J217)/COUNT('Cuadro Mando Integral Detallado'!J78:J96,'Cuadro Mando Integral Detallado'!J156:J166,'Cuadro Mando Integral Detallado'!J175,'Cuadro Mando Integral Detallado'!J201:J202,'Cuadro Mando Integral Detallado'!J212:J217)</f>
        <v>0.67881676179334716</v>
      </c>
      <c r="D13" s="820">
        <f t="shared" si="0"/>
        <v>0.67881676179334716</v>
      </c>
      <c r="E13" s="794">
        <f t="shared" si="1"/>
        <v>0.67881676179334716</v>
      </c>
      <c r="F13" s="794">
        <f t="shared" si="2"/>
        <v>0.67881676179334716</v>
      </c>
      <c r="G13" s="794">
        <f t="shared" si="3"/>
        <v>0.67881676179334716</v>
      </c>
      <c r="H13" s="581">
        <f t="shared" si="4"/>
        <v>0.67881676179334716</v>
      </c>
      <c r="I13" s="827">
        <f>SUM('Cuadro Mando Integral Detallado'!L78:L96,'Cuadro Mando Integral Detallado'!L156:L166,'Cuadro Mando Integral Detallado'!L175,'Cuadro Mando Integral Detallado'!L201:L202,'Cuadro Mando Integral Detallado'!L212:L217)/COUNT('Cuadro Mando Integral Detallado'!L78:L96,'Cuadro Mando Integral Detallado'!L156:L166,'Cuadro Mando Integral Detallado'!L175,'Cuadro Mando Integral Detallado'!L201:L202,'Cuadro Mando Integral Detallado'!L212:L217)</f>
        <v>0.10600417511499721</v>
      </c>
      <c r="J13" s="827">
        <f>SUM('Cuadro Mando Integral Detallado'!M78:M96,'Cuadro Mando Integral Detallado'!M156:M166,'Cuadro Mando Integral Detallado'!M175,'Cuadro Mando Integral Detallado'!M201:M202,'Cuadro Mando Integral Detallado'!M212:M217)/COUNT('Cuadro Mando Integral Detallado'!M78:M96,'Cuadro Mando Integral Detallado'!M156:M166,'Cuadro Mando Integral Detallado'!M175,'Cuadro Mando Integral Detallado'!M201:M202,'Cuadro Mando Integral Detallado'!M212:M217)</f>
        <v>0.11811893798528261</v>
      </c>
      <c r="K13" s="809">
        <f t="shared" si="5"/>
        <v>0.10600417511499721</v>
      </c>
      <c r="L13" s="806">
        <f t="shared" si="6"/>
        <v>0.10600417511499721</v>
      </c>
      <c r="M13" s="806">
        <f t="shared" si="7"/>
        <v>0.10600417511499721</v>
      </c>
      <c r="N13" s="806">
        <f t="shared" si="8"/>
        <v>0.10600417511499721</v>
      </c>
      <c r="O13" s="591">
        <f t="shared" si="9"/>
        <v>0.10600417511499721</v>
      </c>
      <c r="P13" s="163"/>
      <c r="Q13" s="596">
        <f>SUM('Cuadro Mando Integral Detallado'!Q78:Q96,'Cuadro Mando Integral Detallado'!Q156:Q166,'Cuadro Mando Integral Detallado'!Q175,'Cuadro Mando Integral Detallado'!Q201:Q202,'Cuadro Mando Integral Detallado'!Q212:Q217)/COUNT('Cuadro Mando Integral Detallado'!Q78:Q96,'Cuadro Mando Integral Detallado'!Q156:Q166,'Cuadro Mando Integral Detallado'!Q175,'Cuadro Mando Integral Detallado'!Q201:Q202,'Cuadro Mando Integral Detallado'!Q212:Q217)</f>
        <v>0.67118416628227362</v>
      </c>
      <c r="R13" s="820">
        <f t="shared" si="10"/>
        <v>0.67118416628227362</v>
      </c>
      <c r="S13" s="794">
        <f t="shared" si="11"/>
        <v>0.67118416628227362</v>
      </c>
      <c r="T13" s="794">
        <f t="shared" si="12"/>
        <v>0.67118416628227362</v>
      </c>
      <c r="U13" s="794">
        <f t="shared" si="13"/>
        <v>0.67118416628227362</v>
      </c>
      <c r="V13" s="581">
        <f t="shared" si="14"/>
        <v>0.67118416628227362</v>
      </c>
      <c r="W13" s="827">
        <f>SUM('Cuadro Mando Integral Detallado'!S78:S96,'Cuadro Mando Integral Detallado'!S156:S166,'Cuadro Mando Integral Detallado'!S175,'Cuadro Mando Integral Detallado'!S201:S202,'Cuadro Mando Integral Detallado'!S212:S217)/COUNT('Cuadro Mando Integral Detallado'!S78:S96,'Cuadro Mando Integral Detallado'!S156:S166,'Cuadro Mando Integral Detallado'!S175,'Cuadro Mando Integral Detallado'!S201:S202,'Cuadro Mando Integral Detallado'!S212:S217)</f>
        <v>0.28643757497692868</v>
      </c>
      <c r="X13" s="827">
        <f>SUM('Cuadro Mando Integral Detallado'!T78:T96,'Cuadro Mando Integral Detallado'!T156:T166,'Cuadro Mando Integral Detallado'!T175,'Cuadro Mando Integral Detallado'!T201:T202,'Cuadro Mando Integral Detallado'!T212:T217)/COUNT('Cuadro Mando Integral Detallado'!T78:T96,'Cuadro Mando Integral Detallado'!T156:T166,'Cuadro Mando Integral Detallado'!T175,'Cuadro Mando Integral Detallado'!T201:T202,'Cuadro Mando Integral Detallado'!T212:T217)</f>
        <v>0.32462925164051915</v>
      </c>
      <c r="Y13" s="809">
        <f t="shared" si="15"/>
        <v>0.28643757497692868</v>
      </c>
      <c r="Z13" s="806">
        <f t="shared" si="16"/>
        <v>0.28643757497692868</v>
      </c>
      <c r="AA13" s="806">
        <f t="shared" si="17"/>
        <v>0.28643757497692868</v>
      </c>
      <c r="AB13" s="806">
        <f t="shared" si="18"/>
        <v>0.28643757497692868</v>
      </c>
      <c r="AC13" s="591">
        <f t="shared" si="19"/>
        <v>0.28643757497692868</v>
      </c>
      <c r="AD13" s="588"/>
      <c r="AE13" s="596">
        <f>SUM('Cuadro Mando Integral Detallado'!X78:X97,'Cuadro Mando Integral Detallado'!X156:X166,'Cuadro Mando Integral Detallado'!X175,'Cuadro Mando Integral Detallado'!X201:X202,'Cuadro Mando Integral Detallado'!X212:X217)/COUNT('Cuadro Mando Integral Detallado'!X78:X97,'Cuadro Mando Integral Detallado'!X156:X166,'Cuadro Mando Integral Detallado'!X175,'Cuadro Mando Integral Detallado'!X201:X202,'Cuadro Mando Integral Detallado'!X212:X217)</f>
        <v>0</v>
      </c>
      <c r="AF13" s="820">
        <f t="shared" si="20"/>
        <v>0</v>
      </c>
      <c r="AG13" s="794">
        <f t="shared" si="21"/>
        <v>0</v>
      </c>
      <c r="AH13" s="794">
        <f t="shared" si="22"/>
        <v>0</v>
      </c>
      <c r="AI13" s="794">
        <f t="shared" si="23"/>
        <v>0</v>
      </c>
      <c r="AJ13" s="581">
        <f t="shared" si="24"/>
        <v>0</v>
      </c>
      <c r="AK13" s="827">
        <f>SUM('Cuadro Mando Integral Detallado'!Z78:Z97,'Cuadro Mando Integral Detallado'!Z156:Z166,'Cuadro Mando Integral Detallado'!Z175,'Cuadro Mando Integral Detallado'!Z201:Z202,'Cuadro Mando Integral Detallado'!Z212:Z217)/COUNT('Cuadro Mando Integral Detallado'!Z78:Z97,'Cuadro Mando Integral Detallado'!Z156:Z166,'Cuadro Mando Integral Detallado'!Z175,'Cuadro Mando Integral Detallado'!Z201:Z202,'Cuadro Mando Integral Detallado'!Z212:Z217)</f>
        <v>0.2826028506125085</v>
      </c>
      <c r="AL13" s="827">
        <f>SUM('Cuadro Mando Integral Detallado'!AA78:AA97,'Cuadro Mando Integral Detallado'!AA156:AA166,'Cuadro Mando Integral Detallado'!AA175,'Cuadro Mando Integral Detallado'!AA201:AA202,'Cuadro Mando Integral Detallado'!AA212:AA217)/COUNT('Cuadro Mando Integral Detallado'!AA78:AA97,'Cuadro Mando Integral Detallado'!AA156:AA166,'Cuadro Mando Integral Detallado'!AA175,'Cuadro Mando Integral Detallado'!AA201:AA202,'Cuadro Mando Integral Detallado'!AA212:AA217)</f>
        <v>0.29091469915993523</v>
      </c>
      <c r="AM13" s="820">
        <f t="shared" si="25"/>
        <v>0.2826028506125085</v>
      </c>
      <c r="AN13" s="806">
        <f t="shared" si="26"/>
        <v>0.2826028506125085</v>
      </c>
      <c r="AO13" s="806">
        <f t="shared" si="27"/>
        <v>0.2826028506125085</v>
      </c>
      <c r="AP13" s="806">
        <f t="shared" si="28"/>
        <v>0.2826028506125085</v>
      </c>
      <c r="AQ13" s="591">
        <f t="shared" si="29"/>
        <v>0.2826028506125085</v>
      </c>
      <c r="AR13" s="588"/>
      <c r="AS13" s="596">
        <f>SUM('Cuadro Mando Integral Detallado'!AE78:AE97,'Cuadro Mando Integral Detallado'!AE156:AE166,'Cuadro Mando Integral Detallado'!AE175,'Cuadro Mando Integral Detallado'!AE201:AE202,'Cuadro Mando Integral Detallado'!AE212:AE217)/COUNT('Cuadro Mando Integral Detallado'!AE78:AE97,'Cuadro Mando Integral Detallado'!AE156:AE166,'Cuadro Mando Integral Detallado'!AE175,'Cuadro Mando Integral Detallado'!AE201:AE202,'Cuadro Mando Integral Detallado'!AE212:AE217)</f>
        <v>0</v>
      </c>
      <c r="AT13" s="820">
        <f t="shared" si="30"/>
        <v>0</v>
      </c>
      <c r="AU13" s="794">
        <f t="shared" si="31"/>
        <v>0</v>
      </c>
      <c r="AV13" s="794">
        <f t="shared" si="32"/>
        <v>0</v>
      </c>
      <c r="AW13" s="794">
        <f t="shared" si="33"/>
        <v>0</v>
      </c>
      <c r="AX13" s="581">
        <f t="shared" si="34"/>
        <v>0</v>
      </c>
      <c r="AY13" s="824">
        <f>SUM('Cuadro Mando Integral Detallado'!AG78:AG97,'Cuadro Mando Integral Detallado'!AG156:AG166,'Cuadro Mando Integral Detallado'!AG175,'Cuadro Mando Integral Detallado'!AG201:AG202,'Cuadro Mando Integral Detallado'!AG212:AG217)/COUNT('Cuadro Mando Integral Detallado'!AG78:AG97,'Cuadro Mando Integral Detallado'!AG156:AG166,'Cuadro Mando Integral Detallado'!AG175,'Cuadro Mando Integral Detallado'!AG201:AG202,'Cuadro Mando Integral Detallado'!AG212:AG217)</f>
        <v>0.2826028506125085</v>
      </c>
      <c r="AZ13" s="820">
        <f t="shared" si="39"/>
        <v>0.2826028506125085</v>
      </c>
      <c r="BA13" s="806">
        <f t="shared" si="35"/>
        <v>0.2826028506125085</v>
      </c>
      <c r="BB13" s="806">
        <f t="shared" si="36"/>
        <v>0.2826028506125085</v>
      </c>
      <c r="BC13" s="806">
        <f t="shared" si="37"/>
        <v>0.2826028506125085</v>
      </c>
      <c r="BD13" s="591">
        <f t="shared" si="38"/>
        <v>0.2826028506125085</v>
      </c>
    </row>
    <row r="14" spans="1:56" ht="18.75" thickBot="1" x14ac:dyDescent="0.3">
      <c r="A14" s="293" t="s">
        <v>5</v>
      </c>
      <c r="B14" s="438"/>
      <c r="C14" s="597">
        <f>SUM('Cuadro Mando Integral Detallado'!J117,'Cuadro Mando Integral Detallado'!J174,'Cuadro Mando Integral Detallado'!J196:J200,'Cuadro Mando Integral Detallado'!J222)/COUNT('Cuadro Mando Integral Detallado'!J117,'Cuadro Mando Integral Detallado'!J174,'Cuadro Mando Integral Detallado'!J196:J200,'Cuadro Mando Integral Detallado'!J222)</f>
        <v>0.97735849056603785</v>
      </c>
      <c r="D14" s="821">
        <f t="shared" si="0"/>
        <v>0.97735849056603785</v>
      </c>
      <c r="E14" s="796">
        <f t="shared" si="1"/>
        <v>0.97735849056603785</v>
      </c>
      <c r="F14" s="796">
        <f t="shared" si="2"/>
        <v>0.97735849056603785</v>
      </c>
      <c r="G14" s="796">
        <f t="shared" si="3"/>
        <v>0.97735849056603785</v>
      </c>
      <c r="H14" s="582">
        <f t="shared" si="4"/>
        <v>0.97735849056603785</v>
      </c>
      <c r="I14" s="829">
        <f>SUM('Cuadro Mando Integral Detallado'!L117,'Cuadro Mando Integral Detallado'!L174,'Cuadro Mando Integral Detallado'!L196:L200,'Cuadro Mando Integral Detallado'!L222)/COUNT('Cuadro Mando Integral Detallado'!L117,'Cuadro Mando Integral Detallado'!L174,'Cuadro Mando Integral Detallado'!L196:L200,'Cuadro Mando Integral Detallado'!L222)</f>
        <v>0.15625</v>
      </c>
      <c r="J14" s="829">
        <f>SUM('Cuadro Mando Integral Detallado'!M117,'Cuadro Mando Integral Detallado'!M174,'Cuadro Mando Integral Detallado'!M196:M200,'Cuadro Mando Integral Detallado'!M222)/COUNT('Cuadro Mando Integral Detallado'!M117,'Cuadro Mando Integral Detallado'!M174,'Cuadro Mando Integral Detallado'!M196:M200,'Cuadro Mando Integral Detallado'!M222)</f>
        <v>0.25</v>
      </c>
      <c r="K14" s="810">
        <f t="shared" si="5"/>
        <v>0.15625</v>
      </c>
      <c r="L14" s="811">
        <f t="shared" si="6"/>
        <v>0.15625</v>
      </c>
      <c r="M14" s="811">
        <f t="shared" si="7"/>
        <v>0.15625</v>
      </c>
      <c r="N14" s="811">
        <f t="shared" si="8"/>
        <v>0.15625</v>
      </c>
      <c r="O14" s="592">
        <f t="shared" si="9"/>
        <v>0.15625</v>
      </c>
      <c r="P14" s="163"/>
      <c r="Q14" s="597">
        <f>SUM('Cuadro Mando Integral Detallado'!Q117,'Cuadro Mando Integral Detallado'!Q174,'Cuadro Mando Integral Detallado'!Q196:Q200,'Cuadro Mando Integral Detallado'!Q222)/COUNT('Cuadro Mando Integral Detallado'!Q117,'Cuadro Mando Integral Detallado'!Q174,'Cuadro Mando Integral Detallado'!Q196:Q200,'Cuadro Mando Integral Detallado'!Q222)</f>
        <v>0.99867724867724872</v>
      </c>
      <c r="R14" s="821">
        <f t="shared" si="10"/>
        <v>0.99867724867724872</v>
      </c>
      <c r="S14" s="796">
        <f t="shared" si="11"/>
        <v>0.99867724867724872</v>
      </c>
      <c r="T14" s="796">
        <f t="shared" si="12"/>
        <v>0.99867724867724872</v>
      </c>
      <c r="U14" s="796">
        <f t="shared" si="13"/>
        <v>0.99867724867724872</v>
      </c>
      <c r="V14" s="582">
        <f t="shared" si="14"/>
        <v>0.99867724867724872</v>
      </c>
      <c r="W14" s="829">
        <f>SUM('Cuadro Mando Integral Detallado'!S117,'Cuadro Mando Integral Detallado'!S174,'Cuadro Mando Integral Detallado'!S196:S200,'Cuadro Mando Integral Detallado'!S222)/COUNT('Cuadro Mando Integral Detallado'!S117,'Cuadro Mando Integral Detallado'!S174,'Cuadro Mando Integral Detallado'!S196:S200,'Cuadro Mando Integral Detallado'!S222)</f>
        <v>0.46875</v>
      </c>
      <c r="X14" s="829">
        <f>SUM('Cuadro Mando Integral Detallado'!T117,'Cuadro Mando Integral Detallado'!T174,'Cuadro Mando Integral Detallado'!T196:T200,'Cuadro Mando Integral Detallado'!T222)/COUNT('Cuadro Mando Integral Detallado'!T117,'Cuadro Mando Integral Detallado'!T174,'Cuadro Mando Integral Detallado'!T196:T200,'Cuadro Mando Integral Detallado'!T222)</f>
        <v>0.5357142857142857</v>
      </c>
      <c r="Y14" s="810">
        <f t="shared" si="15"/>
        <v>0.46875</v>
      </c>
      <c r="Z14" s="811">
        <f t="shared" si="16"/>
        <v>0.46875</v>
      </c>
      <c r="AA14" s="811">
        <f t="shared" si="17"/>
        <v>0.46875</v>
      </c>
      <c r="AB14" s="811">
        <f t="shared" si="18"/>
        <v>0.46875</v>
      </c>
      <c r="AC14" s="592">
        <f>+Y14</f>
        <v>0.46875</v>
      </c>
      <c r="AD14" s="588"/>
      <c r="AE14" s="597">
        <f>SUM('Cuadro Mando Integral Detallado'!X117,'Cuadro Mando Integral Detallado'!X174,'Cuadro Mando Integral Detallado'!W196:X200,'Cuadro Mando Integral Detallado'!X222)/COUNT('Cuadro Mando Integral Detallado'!X117,'Cuadro Mando Integral Detallado'!X174,'Cuadro Mando Integral Detallado'!X196:X200,'Cuadro Mando Integral Detallado'!X222)</f>
        <v>0</v>
      </c>
      <c r="AF14" s="821">
        <f t="shared" si="20"/>
        <v>0</v>
      </c>
      <c r="AG14" s="796">
        <f t="shared" si="21"/>
        <v>0</v>
      </c>
      <c r="AH14" s="796">
        <f t="shared" si="22"/>
        <v>0</v>
      </c>
      <c r="AI14" s="796">
        <f t="shared" si="23"/>
        <v>0</v>
      </c>
      <c r="AJ14" s="582">
        <f t="shared" si="24"/>
        <v>0</v>
      </c>
      <c r="AK14" s="829">
        <f>SUM('Cuadro Mando Integral Detallado'!Z117,'Cuadro Mando Integral Detallado'!Z174,'Cuadro Mando Integral Detallado'!Z196:Z200,'Cuadro Mando Integral Detallado'!Z222)/COUNT('Cuadro Mando Integral Detallado'!Z117,'Cuadro Mando Integral Detallado'!Z174,'Cuadro Mando Integral Detallado'!Z196:Z200,'Cuadro Mando Integral Detallado'!Z222)</f>
        <v>0.49428104575163401</v>
      </c>
      <c r="AL14" s="829">
        <f>SUM('Cuadro Mando Integral Detallado'!AA117,'Cuadro Mando Integral Detallado'!AA174,'Cuadro Mando Integral Detallado'!AA196:AA200,'Cuadro Mando Integral Detallado'!AA222)/COUNT('Cuadro Mando Integral Detallado'!AA117,'Cuadro Mando Integral Detallado'!AA174,'Cuadro Mando Integral Detallado'!AA196:AA200,'Cuadro Mando Integral Detallado'!AA222)</f>
        <v>0.56489262371615312</v>
      </c>
      <c r="AM14" s="821">
        <f>+AK14</f>
        <v>0.49428104575163401</v>
      </c>
      <c r="AN14" s="811">
        <f t="shared" si="26"/>
        <v>0.49428104575163401</v>
      </c>
      <c r="AO14" s="811">
        <f t="shared" si="27"/>
        <v>0.49428104575163401</v>
      </c>
      <c r="AP14" s="811">
        <f t="shared" si="28"/>
        <v>0.49428104575163401</v>
      </c>
      <c r="AQ14" s="592">
        <f t="shared" si="29"/>
        <v>0.49428104575163401</v>
      </c>
      <c r="AR14" s="588"/>
      <c r="AS14" s="597">
        <f>SUM('Cuadro Mando Integral Detallado'!AE117,'Cuadro Mando Integral Detallado'!AE174,'Cuadro Mando Integral Detallado'!AE196:AE200,'Cuadro Mando Integral Detallado'!AE222)/COUNT('Cuadro Mando Integral Detallado'!AE117,'Cuadro Mando Integral Detallado'!AE174,'Cuadro Mando Integral Detallado'!AE196:AE200,'Cuadro Mando Integral Detallado'!AE222)</f>
        <v>0</v>
      </c>
      <c r="AT14" s="821">
        <f t="shared" si="30"/>
        <v>0</v>
      </c>
      <c r="AU14" s="796">
        <f t="shared" si="31"/>
        <v>0</v>
      </c>
      <c r="AV14" s="796">
        <f t="shared" si="32"/>
        <v>0</v>
      </c>
      <c r="AW14" s="796">
        <f t="shared" si="33"/>
        <v>0</v>
      </c>
      <c r="AX14" s="582">
        <f t="shared" si="34"/>
        <v>0</v>
      </c>
      <c r="AY14" s="825">
        <f>SUM('Cuadro Mando Integral Detallado'!AG117,'Cuadro Mando Integral Detallado'!AG174,'Cuadro Mando Integral Detallado'!AG196:AG200,'Cuadro Mando Integral Detallado'!AG222)/COUNT('Cuadro Mando Integral Detallado'!AG117,'Cuadro Mando Integral Detallado'!AG174,'Cuadro Mando Integral Detallado'!AF196:AG200,'Cuadro Mando Integral Detallado'!AG222)</f>
        <v>0.30417295123177479</v>
      </c>
      <c r="AZ14" s="821">
        <f t="shared" si="39"/>
        <v>0.30417295123177479</v>
      </c>
      <c r="BA14" s="811">
        <f t="shared" si="35"/>
        <v>0.30417295123177479</v>
      </c>
      <c r="BB14" s="811">
        <f t="shared" si="36"/>
        <v>0.30417295123177479</v>
      </c>
      <c r="BC14" s="811">
        <f t="shared" si="37"/>
        <v>0.30417295123177479</v>
      </c>
      <c r="BD14" s="592">
        <f t="shared" si="38"/>
        <v>0.30417295123177479</v>
      </c>
    </row>
    <row r="15" spans="1:56" x14ac:dyDescent="0.25">
      <c r="A15" s="173"/>
    </row>
  </sheetData>
  <mergeCells count="18">
    <mergeCell ref="AS5:AX5"/>
    <mergeCell ref="AY5:BD5"/>
    <mergeCell ref="C5:H5"/>
    <mergeCell ref="I5:O5"/>
    <mergeCell ref="Q5:V5"/>
    <mergeCell ref="W5:AC5"/>
    <mergeCell ref="AE5:AJ5"/>
    <mergeCell ref="AK5:AQ5"/>
    <mergeCell ref="A1:A3"/>
    <mergeCell ref="B1:H1"/>
    <mergeCell ref="I1:AR1"/>
    <mergeCell ref="AS1:BD3"/>
    <mergeCell ref="B2:H2"/>
    <mergeCell ref="I2:AR2"/>
    <mergeCell ref="B3:H3"/>
    <mergeCell ref="I3:O3"/>
    <mergeCell ref="P3:AJ3"/>
    <mergeCell ref="AM3:AR3"/>
  </mergeCells>
  <conditionalFormatting sqref="D6">
    <cfRule type="cellIs" dxfId="366" priority="361" stopIfTrue="1" operator="between">
      <formula>0</formula>
      <formula>0.5</formula>
    </cfRule>
  </conditionalFormatting>
  <conditionalFormatting sqref="E6">
    <cfRule type="cellIs" dxfId="365" priority="360" operator="between">
      <formula>0.51</formula>
      <formula>0.75</formula>
    </cfRule>
  </conditionalFormatting>
  <conditionalFormatting sqref="F6">
    <cfRule type="cellIs" dxfId="364" priority="359" operator="between">
      <formula>0.76</formula>
      <formula>0.95</formula>
    </cfRule>
  </conditionalFormatting>
  <conditionalFormatting sqref="G6">
    <cfRule type="cellIs" dxfId="363" priority="358" operator="between">
      <formula>0.95</formula>
      <formula>1</formula>
    </cfRule>
  </conditionalFormatting>
  <conditionalFormatting sqref="H6">
    <cfRule type="cellIs" dxfId="362" priority="357" operator="greaterThan">
      <formula>1</formula>
    </cfRule>
  </conditionalFormatting>
  <conditionalFormatting sqref="D7">
    <cfRule type="cellIs" dxfId="361" priority="356" stopIfTrue="1" operator="between">
      <formula>0</formula>
      <formula>0.5</formula>
    </cfRule>
  </conditionalFormatting>
  <conditionalFormatting sqref="E7">
    <cfRule type="cellIs" dxfId="360" priority="355" operator="between">
      <formula>0.51</formula>
      <formula>0.75</formula>
    </cfRule>
  </conditionalFormatting>
  <conditionalFormatting sqref="F7">
    <cfRule type="cellIs" dxfId="359" priority="354" operator="between">
      <formula>0.76</formula>
      <formula>0.95</formula>
    </cfRule>
  </conditionalFormatting>
  <conditionalFormatting sqref="G7">
    <cfRule type="cellIs" dxfId="358" priority="353" operator="between">
      <formula>0.95</formula>
      <formula>1</formula>
    </cfRule>
  </conditionalFormatting>
  <conditionalFormatting sqref="H7">
    <cfRule type="cellIs" dxfId="357" priority="352" operator="greaterThan">
      <formula>1</formula>
    </cfRule>
  </conditionalFormatting>
  <conditionalFormatting sqref="D8">
    <cfRule type="cellIs" dxfId="356" priority="351" stopIfTrue="1" operator="between">
      <formula>0</formula>
      <formula>0.5</formula>
    </cfRule>
  </conditionalFormatting>
  <conditionalFormatting sqref="E8">
    <cfRule type="cellIs" dxfId="355" priority="350" operator="between">
      <formula>0.51</formula>
      <formula>0.75</formula>
    </cfRule>
  </conditionalFormatting>
  <conditionalFormatting sqref="F8">
    <cfRule type="cellIs" dxfId="354" priority="349" operator="between">
      <formula>0.76</formula>
      <formula>0.95</formula>
    </cfRule>
  </conditionalFormatting>
  <conditionalFormatting sqref="G8">
    <cfRule type="cellIs" dxfId="353" priority="348" operator="between">
      <formula>0.95</formula>
      <formula>1</formula>
    </cfRule>
  </conditionalFormatting>
  <conditionalFormatting sqref="H8">
    <cfRule type="cellIs" dxfId="352" priority="347" operator="greaterThan">
      <formula>1</formula>
    </cfRule>
  </conditionalFormatting>
  <conditionalFormatting sqref="D9">
    <cfRule type="cellIs" dxfId="351" priority="346" stopIfTrue="1" operator="between">
      <formula>0</formula>
      <formula>0.5</formula>
    </cfRule>
  </conditionalFormatting>
  <conditionalFormatting sqref="E9">
    <cfRule type="cellIs" dxfId="350" priority="345" operator="between">
      <formula>0.51</formula>
      <formula>0.75</formula>
    </cfRule>
  </conditionalFormatting>
  <conditionalFormatting sqref="F9">
    <cfRule type="cellIs" dxfId="349" priority="344" operator="between">
      <formula>0.76</formula>
      <formula>0.95</formula>
    </cfRule>
  </conditionalFormatting>
  <conditionalFormatting sqref="G9">
    <cfRule type="cellIs" dxfId="348" priority="343" operator="between">
      <formula>0.95</formula>
      <formula>1</formula>
    </cfRule>
  </conditionalFormatting>
  <conditionalFormatting sqref="H9">
    <cfRule type="cellIs" dxfId="347" priority="342" operator="greaterThan">
      <formula>1</formula>
    </cfRule>
  </conditionalFormatting>
  <conditionalFormatting sqref="D10">
    <cfRule type="cellIs" dxfId="346" priority="341" stopIfTrue="1" operator="between">
      <formula>0</formula>
      <formula>0.5</formula>
    </cfRule>
  </conditionalFormatting>
  <conditionalFormatting sqref="E10">
    <cfRule type="cellIs" dxfId="345" priority="340" operator="between">
      <formula>0.51</formula>
      <formula>0.75</formula>
    </cfRule>
  </conditionalFormatting>
  <conditionalFormatting sqref="F10">
    <cfRule type="cellIs" dxfId="344" priority="339" operator="between">
      <formula>0.76</formula>
      <formula>0.95</formula>
    </cfRule>
  </conditionalFormatting>
  <conditionalFormatting sqref="G10">
    <cfRule type="cellIs" dxfId="343" priority="338" operator="between">
      <formula>0.95</formula>
      <formula>1</formula>
    </cfRule>
  </conditionalFormatting>
  <conditionalFormatting sqref="H10">
    <cfRule type="cellIs" dxfId="342" priority="337" operator="greaterThan">
      <formula>1</formula>
    </cfRule>
  </conditionalFormatting>
  <conditionalFormatting sqref="D11">
    <cfRule type="cellIs" dxfId="341" priority="336" stopIfTrue="1" operator="between">
      <formula>0</formula>
      <formula>0.5</formula>
    </cfRule>
  </conditionalFormatting>
  <conditionalFormatting sqref="E11">
    <cfRule type="cellIs" dxfId="340" priority="335" operator="between">
      <formula>0.51</formula>
      <formula>0.75</formula>
    </cfRule>
  </conditionalFormatting>
  <conditionalFormatting sqref="F11">
    <cfRule type="cellIs" dxfId="339" priority="334" operator="between">
      <formula>0.76</formula>
      <formula>0.95</formula>
    </cfRule>
  </conditionalFormatting>
  <conditionalFormatting sqref="G11">
    <cfRule type="cellIs" dxfId="338" priority="333" operator="between">
      <formula>0.95</formula>
      <formula>1</formula>
    </cfRule>
  </conditionalFormatting>
  <conditionalFormatting sqref="H11">
    <cfRule type="cellIs" dxfId="337" priority="332" operator="greaterThan">
      <formula>1</formula>
    </cfRule>
  </conditionalFormatting>
  <conditionalFormatting sqref="D12">
    <cfRule type="cellIs" dxfId="336" priority="331" stopIfTrue="1" operator="between">
      <formula>0</formula>
      <formula>0.5</formula>
    </cfRule>
  </conditionalFormatting>
  <conditionalFormatting sqref="E12">
    <cfRule type="cellIs" dxfId="335" priority="330" operator="between">
      <formula>0.51</formula>
      <formula>0.75</formula>
    </cfRule>
  </conditionalFormatting>
  <conditionalFormatting sqref="F12">
    <cfRule type="cellIs" dxfId="334" priority="329" operator="between">
      <formula>0.76</formula>
      <formula>0.95</formula>
    </cfRule>
  </conditionalFormatting>
  <conditionalFormatting sqref="G12">
    <cfRule type="cellIs" dxfId="333" priority="328" operator="between">
      <formula>0.95</formula>
      <formula>1</formula>
    </cfRule>
  </conditionalFormatting>
  <conditionalFormatting sqref="H12">
    <cfRule type="cellIs" dxfId="332" priority="327" operator="greaterThan">
      <formula>1</formula>
    </cfRule>
  </conditionalFormatting>
  <conditionalFormatting sqref="D13">
    <cfRule type="cellIs" dxfId="331" priority="326" stopIfTrue="1" operator="between">
      <formula>0</formula>
      <formula>0.5</formula>
    </cfRule>
  </conditionalFormatting>
  <conditionalFormatting sqref="E13">
    <cfRule type="cellIs" dxfId="330" priority="325" operator="between">
      <formula>0.51</formula>
      <formula>0.75</formula>
    </cfRule>
  </conditionalFormatting>
  <conditionalFormatting sqref="F13">
    <cfRule type="cellIs" dxfId="329" priority="324" operator="between">
      <formula>0.76</formula>
      <formula>0.95</formula>
    </cfRule>
  </conditionalFormatting>
  <conditionalFormatting sqref="G13">
    <cfRule type="cellIs" dxfId="328" priority="323" operator="between">
      <formula>0.95</formula>
      <formula>1</formula>
    </cfRule>
  </conditionalFormatting>
  <conditionalFormatting sqref="H13">
    <cfRule type="cellIs" dxfId="327" priority="322" operator="greaterThan">
      <formula>1</formula>
    </cfRule>
  </conditionalFormatting>
  <conditionalFormatting sqref="D14">
    <cfRule type="cellIs" dxfId="326" priority="321" stopIfTrue="1" operator="between">
      <formula>0</formula>
      <formula>0.5</formula>
    </cfRule>
  </conditionalFormatting>
  <conditionalFormatting sqref="E14">
    <cfRule type="cellIs" dxfId="325" priority="320" operator="between">
      <formula>0.51</formula>
      <formula>0.75</formula>
    </cfRule>
  </conditionalFormatting>
  <conditionalFormatting sqref="F14">
    <cfRule type="cellIs" dxfId="324" priority="319" operator="between">
      <formula>0.76</formula>
      <formula>0.95</formula>
    </cfRule>
  </conditionalFormatting>
  <conditionalFormatting sqref="G14">
    <cfRule type="cellIs" dxfId="323" priority="318" operator="between">
      <formula>0.95</formula>
      <formula>1</formula>
    </cfRule>
  </conditionalFormatting>
  <conditionalFormatting sqref="H14">
    <cfRule type="cellIs" dxfId="322" priority="317" operator="greaterThan">
      <formula>1</formula>
    </cfRule>
  </conditionalFormatting>
  <conditionalFormatting sqref="K6">
    <cfRule type="cellIs" dxfId="321" priority="316" stopIfTrue="1" operator="between">
      <formula>0</formula>
      <formula>0.125</formula>
    </cfRule>
  </conditionalFormatting>
  <conditionalFormatting sqref="L6">
    <cfRule type="cellIs" dxfId="320" priority="315" operator="between">
      <formula>0.1251</formula>
      <formula>0.19</formula>
    </cfRule>
  </conditionalFormatting>
  <conditionalFormatting sqref="M6">
    <cfRule type="cellIs" dxfId="319" priority="314" operator="between">
      <formula>0.191</formula>
      <formula>0.24</formula>
    </cfRule>
  </conditionalFormatting>
  <conditionalFormatting sqref="N6">
    <cfRule type="cellIs" dxfId="318" priority="313" operator="between">
      <formula>0.2401</formula>
      <formula>0.26</formula>
    </cfRule>
  </conditionalFormatting>
  <conditionalFormatting sqref="O6">
    <cfRule type="cellIs" dxfId="317" priority="312" operator="greaterThan">
      <formula>0.2601</formula>
    </cfRule>
  </conditionalFormatting>
  <conditionalFormatting sqref="K7">
    <cfRule type="cellIs" dxfId="316" priority="311" stopIfTrue="1" operator="between">
      <formula>0</formula>
      <formula>0.125</formula>
    </cfRule>
  </conditionalFormatting>
  <conditionalFormatting sqref="L7">
    <cfRule type="cellIs" dxfId="315" priority="310" operator="between">
      <formula>0.1251</formula>
      <formula>0.19</formula>
    </cfRule>
  </conditionalFormatting>
  <conditionalFormatting sqref="M7">
    <cfRule type="cellIs" dxfId="314" priority="309" operator="between">
      <formula>0.191</formula>
      <formula>0.24</formula>
    </cfRule>
  </conditionalFormatting>
  <conditionalFormatting sqref="N7">
    <cfRule type="cellIs" dxfId="313" priority="308" operator="between">
      <formula>0.2401</formula>
      <formula>0.26</formula>
    </cfRule>
  </conditionalFormatting>
  <conditionalFormatting sqref="O7">
    <cfRule type="cellIs" dxfId="312" priority="307" operator="greaterThan">
      <formula>0.2601</formula>
    </cfRule>
  </conditionalFormatting>
  <conditionalFormatting sqref="K8">
    <cfRule type="cellIs" dxfId="311" priority="306" stopIfTrue="1" operator="between">
      <formula>0</formula>
      <formula>0.125</formula>
    </cfRule>
  </conditionalFormatting>
  <conditionalFormatting sqref="L8">
    <cfRule type="cellIs" dxfId="310" priority="305" operator="between">
      <formula>0.1251</formula>
      <formula>0.19</formula>
    </cfRule>
  </conditionalFormatting>
  <conditionalFormatting sqref="M8">
    <cfRule type="cellIs" dxfId="309" priority="304" operator="between">
      <formula>0.191</formula>
      <formula>0.24</formula>
    </cfRule>
  </conditionalFormatting>
  <conditionalFormatting sqref="N8">
    <cfRule type="cellIs" dxfId="308" priority="303" operator="between">
      <formula>0.2401</formula>
      <formula>0.26</formula>
    </cfRule>
  </conditionalFormatting>
  <conditionalFormatting sqref="O8">
    <cfRule type="cellIs" dxfId="307" priority="302" operator="greaterThan">
      <formula>0.2601</formula>
    </cfRule>
  </conditionalFormatting>
  <conditionalFormatting sqref="K9">
    <cfRule type="cellIs" dxfId="306" priority="301" stopIfTrue="1" operator="between">
      <formula>0</formula>
      <formula>0.125</formula>
    </cfRule>
  </conditionalFormatting>
  <conditionalFormatting sqref="L9">
    <cfRule type="cellIs" dxfId="305" priority="300" operator="between">
      <formula>0.1251</formula>
      <formula>0.19</formula>
    </cfRule>
  </conditionalFormatting>
  <conditionalFormatting sqref="M9">
    <cfRule type="cellIs" dxfId="304" priority="299" operator="between">
      <formula>0.191</formula>
      <formula>0.24</formula>
    </cfRule>
  </conditionalFormatting>
  <conditionalFormatting sqref="N9">
    <cfRule type="cellIs" dxfId="303" priority="298" operator="between">
      <formula>0.2401</formula>
      <formula>0.26</formula>
    </cfRule>
  </conditionalFormatting>
  <conditionalFormatting sqref="O9">
    <cfRule type="cellIs" dxfId="302" priority="297" operator="greaterThan">
      <formula>0.2601</formula>
    </cfRule>
  </conditionalFormatting>
  <conditionalFormatting sqref="K10">
    <cfRule type="cellIs" dxfId="301" priority="296" stopIfTrue="1" operator="between">
      <formula>0</formula>
      <formula>0.125</formula>
    </cfRule>
  </conditionalFormatting>
  <conditionalFormatting sqref="L10">
    <cfRule type="cellIs" dxfId="300" priority="295" operator="between">
      <formula>0.1251</formula>
      <formula>0.19</formula>
    </cfRule>
  </conditionalFormatting>
  <conditionalFormatting sqref="M10">
    <cfRule type="cellIs" dxfId="299" priority="294" operator="between">
      <formula>0.191</formula>
      <formula>0.24</formula>
    </cfRule>
  </conditionalFormatting>
  <conditionalFormatting sqref="N10">
    <cfRule type="cellIs" dxfId="298" priority="293" operator="between">
      <formula>0.2401</formula>
      <formula>0.26</formula>
    </cfRule>
  </conditionalFormatting>
  <conditionalFormatting sqref="O10">
    <cfRule type="cellIs" dxfId="297" priority="292" operator="greaterThan">
      <formula>0.2601</formula>
    </cfRule>
  </conditionalFormatting>
  <conditionalFormatting sqref="K11">
    <cfRule type="cellIs" dxfId="296" priority="291" stopIfTrue="1" operator="between">
      <formula>0</formula>
      <formula>0.125</formula>
    </cfRule>
  </conditionalFormatting>
  <conditionalFormatting sqref="L11">
    <cfRule type="cellIs" dxfId="295" priority="290" operator="between">
      <formula>0.1251</formula>
      <formula>0.19</formula>
    </cfRule>
  </conditionalFormatting>
  <conditionalFormatting sqref="M11">
    <cfRule type="cellIs" dxfId="294" priority="289" operator="between">
      <formula>0.191</formula>
      <formula>0.24</formula>
    </cfRule>
  </conditionalFormatting>
  <conditionalFormatting sqref="N11">
    <cfRule type="cellIs" dxfId="293" priority="288" operator="between">
      <formula>0.2401</formula>
      <formula>0.26</formula>
    </cfRule>
  </conditionalFormatting>
  <conditionalFormatting sqref="O11">
    <cfRule type="cellIs" dxfId="292" priority="287" operator="greaterThan">
      <formula>0.2601</formula>
    </cfRule>
  </conditionalFormatting>
  <conditionalFormatting sqref="K12">
    <cfRule type="cellIs" dxfId="291" priority="286" stopIfTrue="1" operator="between">
      <formula>0</formula>
      <formula>0.125</formula>
    </cfRule>
  </conditionalFormatting>
  <conditionalFormatting sqref="L12">
    <cfRule type="cellIs" dxfId="290" priority="285" operator="between">
      <formula>0.1251</formula>
      <formula>0.19</formula>
    </cfRule>
  </conditionalFormatting>
  <conditionalFormatting sqref="M12">
    <cfRule type="cellIs" dxfId="289" priority="284" operator="between">
      <formula>0.191</formula>
      <formula>0.24</formula>
    </cfRule>
  </conditionalFormatting>
  <conditionalFormatting sqref="N12">
    <cfRule type="cellIs" dxfId="288" priority="283" operator="between">
      <formula>0.2401</formula>
      <formula>0.26</formula>
    </cfRule>
  </conditionalFormatting>
  <conditionalFormatting sqref="O12">
    <cfRule type="cellIs" dxfId="287" priority="282" operator="greaterThan">
      <formula>0.2601</formula>
    </cfRule>
  </conditionalFormatting>
  <conditionalFormatting sqref="K13">
    <cfRule type="cellIs" dxfId="286" priority="281" stopIfTrue="1" operator="between">
      <formula>0</formula>
      <formula>0.125</formula>
    </cfRule>
  </conditionalFormatting>
  <conditionalFormatting sqref="L13">
    <cfRule type="cellIs" dxfId="285" priority="280" operator="between">
      <formula>0.1251</formula>
      <formula>0.19</formula>
    </cfRule>
  </conditionalFormatting>
  <conditionalFormatting sqref="M13">
    <cfRule type="cellIs" dxfId="284" priority="279" operator="between">
      <formula>0.191</formula>
      <formula>0.24</formula>
    </cfRule>
  </conditionalFormatting>
  <conditionalFormatting sqref="N13">
    <cfRule type="cellIs" dxfId="283" priority="278" operator="between">
      <formula>0.2401</formula>
      <formula>0.26</formula>
    </cfRule>
  </conditionalFormatting>
  <conditionalFormatting sqref="O13">
    <cfRule type="cellIs" dxfId="282" priority="277" operator="greaterThan">
      <formula>0.2601</formula>
    </cfRule>
  </conditionalFormatting>
  <conditionalFormatting sqref="K14">
    <cfRule type="cellIs" dxfId="281" priority="276" stopIfTrue="1" operator="between">
      <formula>0</formula>
      <formula>0.125</formula>
    </cfRule>
  </conditionalFormatting>
  <conditionalFormatting sqref="L14">
    <cfRule type="cellIs" dxfId="280" priority="275" operator="between">
      <formula>0.1251</formula>
      <formula>0.19</formula>
    </cfRule>
  </conditionalFormatting>
  <conditionalFormatting sqref="M14">
    <cfRule type="cellIs" dxfId="279" priority="274" operator="between">
      <formula>0.191</formula>
      <formula>0.24</formula>
    </cfRule>
  </conditionalFormatting>
  <conditionalFormatting sqref="N14">
    <cfRule type="cellIs" dxfId="278" priority="273" operator="between">
      <formula>0.2401</formula>
      <formula>0.26</formula>
    </cfRule>
  </conditionalFormatting>
  <conditionalFormatting sqref="O14">
    <cfRule type="cellIs" dxfId="277" priority="272" operator="greaterThan">
      <formula>0.2601</formula>
    </cfRule>
  </conditionalFormatting>
  <conditionalFormatting sqref="R6">
    <cfRule type="cellIs" dxfId="276" priority="271" stopIfTrue="1" operator="between">
      <formula>0</formula>
      <formula>0.5</formula>
    </cfRule>
  </conditionalFormatting>
  <conditionalFormatting sqref="S6">
    <cfRule type="cellIs" dxfId="275" priority="270" operator="between">
      <formula>0.51</formula>
      <formula>0.75</formula>
    </cfRule>
  </conditionalFormatting>
  <conditionalFormatting sqref="T6">
    <cfRule type="cellIs" dxfId="274" priority="269" operator="between">
      <formula>0.76</formula>
      <formula>0.95</formula>
    </cfRule>
  </conditionalFormatting>
  <conditionalFormatting sqref="U6">
    <cfRule type="cellIs" dxfId="273" priority="268" operator="between">
      <formula>0.95</formula>
      <formula>1</formula>
    </cfRule>
  </conditionalFormatting>
  <conditionalFormatting sqref="V6">
    <cfRule type="cellIs" dxfId="272" priority="267" operator="greaterThan">
      <formula>1</formula>
    </cfRule>
  </conditionalFormatting>
  <conditionalFormatting sqref="R7">
    <cfRule type="cellIs" dxfId="271" priority="266" stopIfTrue="1" operator="between">
      <formula>0</formula>
      <formula>0.5</formula>
    </cfRule>
  </conditionalFormatting>
  <conditionalFormatting sqref="S7">
    <cfRule type="cellIs" dxfId="270" priority="265" operator="between">
      <formula>0.51</formula>
      <formula>0.75</formula>
    </cfRule>
  </conditionalFormatting>
  <conditionalFormatting sqref="T7">
    <cfRule type="cellIs" dxfId="269" priority="264" operator="between">
      <formula>0.76</formula>
      <formula>0.95</formula>
    </cfRule>
  </conditionalFormatting>
  <conditionalFormatting sqref="U7">
    <cfRule type="cellIs" dxfId="268" priority="263" operator="between">
      <formula>0.95</formula>
      <formula>1</formula>
    </cfRule>
  </conditionalFormatting>
  <conditionalFormatting sqref="V7">
    <cfRule type="cellIs" dxfId="267" priority="262" operator="greaterThan">
      <formula>1</formula>
    </cfRule>
  </conditionalFormatting>
  <conditionalFormatting sqref="R8">
    <cfRule type="cellIs" dxfId="266" priority="261" stopIfTrue="1" operator="between">
      <formula>0</formula>
      <formula>0.5</formula>
    </cfRule>
  </conditionalFormatting>
  <conditionalFormatting sqref="S8">
    <cfRule type="cellIs" dxfId="265" priority="260" operator="between">
      <formula>0.51</formula>
      <formula>0.75</formula>
    </cfRule>
  </conditionalFormatting>
  <conditionalFormatting sqref="T8">
    <cfRule type="cellIs" dxfId="264" priority="259" operator="between">
      <formula>0.76</formula>
      <formula>0.95</formula>
    </cfRule>
  </conditionalFormatting>
  <conditionalFormatting sqref="U8">
    <cfRule type="cellIs" dxfId="263" priority="258" operator="between">
      <formula>0.95</formula>
      <formula>1</formula>
    </cfRule>
  </conditionalFormatting>
  <conditionalFormatting sqref="V8">
    <cfRule type="cellIs" dxfId="262" priority="257" operator="greaterThan">
      <formula>1</formula>
    </cfRule>
  </conditionalFormatting>
  <conditionalFormatting sqref="R9">
    <cfRule type="cellIs" dxfId="261" priority="256" stopIfTrue="1" operator="between">
      <formula>0</formula>
      <formula>0.5</formula>
    </cfRule>
  </conditionalFormatting>
  <conditionalFormatting sqref="S9">
    <cfRule type="cellIs" dxfId="260" priority="255" operator="between">
      <formula>0.51</formula>
      <formula>0.75</formula>
    </cfRule>
  </conditionalFormatting>
  <conditionalFormatting sqref="T9">
    <cfRule type="cellIs" dxfId="259" priority="254" operator="between">
      <formula>0.76</formula>
      <formula>0.95</formula>
    </cfRule>
  </conditionalFormatting>
  <conditionalFormatting sqref="U9">
    <cfRule type="cellIs" dxfId="258" priority="253" operator="between">
      <formula>0.95</formula>
      <formula>1</formula>
    </cfRule>
  </conditionalFormatting>
  <conditionalFormatting sqref="V9">
    <cfRule type="cellIs" dxfId="257" priority="252" operator="greaterThan">
      <formula>1</formula>
    </cfRule>
  </conditionalFormatting>
  <conditionalFormatting sqref="R10">
    <cfRule type="cellIs" dxfId="256" priority="251" stopIfTrue="1" operator="between">
      <formula>0</formula>
      <formula>0.5</formula>
    </cfRule>
  </conditionalFormatting>
  <conditionalFormatting sqref="S10">
    <cfRule type="cellIs" dxfId="255" priority="250" operator="between">
      <formula>0.51</formula>
      <formula>0.75</formula>
    </cfRule>
  </conditionalFormatting>
  <conditionalFormatting sqref="T10">
    <cfRule type="cellIs" dxfId="254" priority="249" operator="between">
      <formula>0.76</formula>
      <formula>0.95</formula>
    </cfRule>
  </conditionalFormatting>
  <conditionalFormatting sqref="U10">
    <cfRule type="cellIs" dxfId="253" priority="248" operator="between">
      <formula>0.95</formula>
      <formula>1</formula>
    </cfRule>
  </conditionalFormatting>
  <conditionalFormatting sqref="V10">
    <cfRule type="cellIs" dxfId="252" priority="247" operator="greaterThan">
      <formula>1</formula>
    </cfRule>
  </conditionalFormatting>
  <conditionalFormatting sqref="R11">
    <cfRule type="cellIs" dxfId="251" priority="246" stopIfTrue="1" operator="between">
      <formula>0</formula>
      <formula>0.5</formula>
    </cfRule>
  </conditionalFormatting>
  <conditionalFormatting sqref="S11">
    <cfRule type="cellIs" dxfId="250" priority="245" operator="between">
      <formula>0.51</formula>
      <formula>0.75</formula>
    </cfRule>
  </conditionalFormatting>
  <conditionalFormatting sqref="T11">
    <cfRule type="cellIs" dxfId="249" priority="244" operator="between">
      <formula>0.76</formula>
      <formula>0.95</formula>
    </cfRule>
  </conditionalFormatting>
  <conditionalFormatting sqref="U11">
    <cfRule type="cellIs" dxfId="248" priority="243" operator="between">
      <formula>0.95</formula>
      <formula>1</formula>
    </cfRule>
  </conditionalFormatting>
  <conditionalFormatting sqref="V11">
    <cfRule type="cellIs" dxfId="247" priority="242" operator="greaterThan">
      <formula>1</formula>
    </cfRule>
  </conditionalFormatting>
  <conditionalFormatting sqref="R12">
    <cfRule type="cellIs" dxfId="246" priority="241" stopIfTrue="1" operator="between">
      <formula>0</formula>
      <formula>0.5</formula>
    </cfRule>
  </conditionalFormatting>
  <conditionalFormatting sqref="S12">
    <cfRule type="cellIs" dxfId="245" priority="240" operator="between">
      <formula>0.51</formula>
      <formula>0.75</formula>
    </cfRule>
  </conditionalFormatting>
  <conditionalFormatting sqref="T12">
    <cfRule type="cellIs" dxfId="244" priority="239" operator="between">
      <formula>0.76</formula>
      <formula>0.95</formula>
    </cfRule>
  </conditionalFormatting>
  <conditionalFormatting sqref="U12">
    <cfRule type="cellIs" dxfId="243" priority="238" operator="between">
      <formula>0.95</formula>
      <formula>1</formula>
    </cfRule>
  </conditionalFormatting>
  <conditionalFormatting sqref="V12">
    <cfRule type="cellIs" dxfId="242" priority="237" operator="greaterThan">
      <formula>1</formula>
    </cfRule>
  </conditionalFormatting>
  <conditionalFormatting sqref="R13">
    <cfRule type="cellIs" dxfId="241" priority="236" stopIfTrue="1" operator="between">
      <formula>0</formula>
      <formula>0.5</formula>
    </cfRule>
  </conditionalFormatting>
  <conditionalFormatting sqref="S13">
    <cfRule type="cellIs" dxfId="240" priority="235" operator="between">
      <formula>0.51</formula>
      <formula>0.75</formula>
    </cfRule>
  </conditionalFormatting>
  <conditionalFormatting sqref="T13">
    <cfRule type="cellIs" dxfId="239" priority="234" operator="between">
      <formula>0.76</formula>
      <formula>0.95</formula>
    </cfRule>
  </conditionalFormatting>
  <conditionalFormatting sqref="U13">
    <cfRule type="cellIs" dxfId="238" priority="233" operator="between">
      <formula>0.95</formula>
      <formula>1</formula>
    </cfRule>
  </conditionalFormatting>
  <conditionalFormatting sqref="V13">
    <cfRule type="cellIs" dxfId="237" priority="232" operator="greaterThan">
      <formula>1</formula>
    </cfRule>
  </conditionalFormatting>
  <conditionalFormatting sqref="R14">
    <cfRule type="cellIs" dxfId="236" priority="231" stopIfTrue="1" operator="between">
      <formula>0</formula>
      <formula>0.5</formula>
    </cfRule>
  </conditionalFormatting>
  <conditionalFormatting sqref="S14">
    <cfRule type="cellIs" dxfId="235" priority="230" operator="between">
      <formula>0.51</formula>
      <formula>0.75</formula>
    </cfRule>
  </conditionalFormatting>
  <conditionalFormatting sqref="T14">
    <cfRule type="cellIs" dxfId="234" priority="229" operator="between">
      <formula>0.76</formula>
      <formula>0.95</formula>
    </cfRule>
  </conditionalFormatting>
  <conditionalFormatting sqref="U14">
    <cfRule type="cellIs" dxfId="233" priority="228" operator="between">
      <formula>0.95</formula>
      <formula>1</formula>
    </cfRule>
  </conditionalFormatting>
  <conditionalFormatting sqref="V14">
    <cfRule type="cellIs" dxfId="232" priority="227" operator="greaterThan">
      <formula>1</formula>
    </cfRule>
  </conditionalFormatting>
  <conditionalFormatting sqref="Y7">
    <cfRule type="cellIs" dxfId="231" priority="226" stopIfTrue="1" operator="between">
      <formula>0</formula>
      <formula>0.255</formula>
    </cfRule>
  </conditionalFormatting>
  <conditionalFormatting sqref="Z7">
    <cfRule type="cellIs" dxfId="230" priority="225" operator="between">
      <formula>0.2551</formula>
      <formula>0.375</formula>
    </cfRule>
  </conditionalFormatting>
  <conditionalFormatting sqref="AA7">
    <cfRule type="cellIs" dxfId="229" priority="224" operator="between">
      <formula>0.3751</formula>
      <formula>0.475</formula>
    </cfRule>
  </conditionalFormatting>
  <conditionalFormatting sqref="AB7">
    <cfRule type="cellIs" dxfId="228" priority="223" operator="between">
      <formula>0.48</formula>
      <formula>0.51</formula>
    </cfRule>
  </conditionalFormatting>
  <conditionalFormatting sqref="AC7">
    <cfRule type="cellIs" dxfId="227" priority="222" operator="greaterThan">
      <formula>0.505</formula>
    </cfRule>
  </conditionalFormatting>
  <conditionalFormatting sqref="Y9">
    <cfRule type="cellIs" dxfId="226" priority="221" stopIfTrue="1" operator="between">
      <formula>0</formula>
      <formula>0.255</formula>
    </cfRule>
  </conditionalFormatting>
  <conditionalFormatting sqref="Z9">
    <cfRule type="cellIs" dxfId="225" priority="220" operator="between">
      <formula>0.2551</formula>
      <formula>0.375</formula>
    </cfRule>
  </conditionalFormatting>
  <conditionalFormatting sqref="AA9">
    <cfRule type="cellIs" dxfId="224" priority="219" operator="between">
      <formula>0.38</formula>
      <formula>0.475</formula>
    </cfRule>
  </conditionalFormatting>
  <conditionalFormatting sqref="AB9">
    <cfRule type="cellIs" dxfId="223" priority="218" operator="between">
      <formula>0.48</formula>
      <formula>0.51</formula>
    </cfRule>
  </conditionalFormatting>
  <conditionalFormatting sqref="AC9">
    <cfRule type="cellIs" dxfId="222" priority="217" operator="greaterThan">
      <formula>0.505</formula>
    </cfRule>
  </conditionalFormatting>
  <conditionalFormatting sqref="Y10">
    <cfRule type="cellIs" dxfId="221" priority="216" stopIfTrue="1" operator="between">
      <formula>0</formula>
      <formula>0.255</formula>
    </cfRule>
  </conditionalFormatting>
  <conditionalFormatting sqref="Z10">
    <cfRule type="cellIs" dxfId="220" priority="215" operator="between">
      <formula>0.2551</formula>
      <formula>0.375</formula>
    </cfRule>
  </conditionalFormatting>
  <conditionalFormatting sqref="AA10">
    <cfRule type="cellIs" dxfId="219" priority="214" operator="between">
      <formula>0.38</formula>
      <formula>0.475</formula>
    </cfRule>
  </conditionalFormatting>
  <conditionalFormatting sqref="AB10">
    <cfRule type="cellIs" dxfId="218" priority="213" operator="between">
      <formula>0.48</formula>
      <formula>0.51</formula>
    </cfRule>
  </conditionalFormatting>
  <conditionalFormatting sqref="AC10">
    <cfRule type="cellIs" dxfId="217" priority="212" operator="greaterThan">
      <formula>0.505</formula>
    </cfRule>
  </conditionalFormatting>
  <conditionalFormatting sqref="Y11">
    <cfRule type="cellIs" dxfId="216" priority="211" stopIfTrue="1" operator="between">
      <formula>0</formula>
      <formula>0.255</formula>
    </cfRule>
  </conditionalFormatting>
  <conditionalFormatting sqref="Z11">
    <cfRule type="cellIs" dxfId="215" priority="210" operator="between">
      <formula>0.2551</formula>
      <formula>0.375</formula>
    </cfRule>
  </conditionalFormatting>
  <conditionalFormatting sqref="AA11">
    <cfRule type="cellIs" dxfId="214" priority="209" operator="between">
      <formula>0.38</formula>
      <formula>0.475</formula>
    </cfRule>
  </conditionalFormatting>
  <conditionalFormatting sqref="AB11">
    <cfRule type="cellIs" dxfId="213" priority="208" operator="between">
      <formula>0.48</formula>
      <formula>0.51</formula>
    </cfRule>
  </conditionalFormatting>
  <conditionalFormatting sqref="AC11">
    <cfRule type="cellIs" dxfId="212" priority="207" operator="greaterThan">
      <formula>0.505</formula>
    </cfRule>
  </conditionalFormatting>
  <conditionalFormatting sqref="Y12">
    <cfRule type="cellIs" dxfId="211" priority="206" stopIfTrue="1" operator="between">
      <formula>0</formula>
      <formula>0.255</formula>
    </cfRule>
  </conditionalFormatting>
  <conditionalFormatting sqref="Z12">
    <cfRule type="cellIs" dxfId="210" priority="205" operator="between">
      <formula>0.2551</formula>
      <formula>0.375</formula>
    </cfRule>
  </conditionalFormatting>
  <conditionalFormatting sqref="AA12">
    <cfRule type="cellIs" dxfId="209" priority="204" operator="between">
      <formula>0.38</formula>
      <formula>0.475</formula>
    </cfRule>
  </conditionalFormatting>
  <conditionalFormatting sqref="AB12">
    <cfRule type="cellIs" dxfId="208" priority="203" operator="between">
      <formula>0.48</formula>
      <formula>0.51</formula>
    </cfRule>
  </conditionalFormatting>
  <conditionalFormatting sqref="AC12">
    <cfRule type="cellIs" dxfId="207" priority="202" operator="greaterThan">
      <formula>0.505</formula>
    </cfRule>
  </conditionalFormatting>
  <conditionalFormatting sqref="Y13">
    <cfRule type="cellIs" dxfId="206" priority="201" stopIfTrue="1" operator="between">
      <formula>0</formula>
      <formula>0.255</formula>
    </cfRule>
  </conditionalFormatting>
  <conditionalFormatting sqref="Z13">
    <cfRule type="cellIs" dxfId="205" priority="200" operator="between">
      <formula>0.2551</formula>
      <formula>0.375</formula>
    </cfRule>
  </conditionalFormatting>
  <conditionalFormatting sqref="AA13">
    <cfRule type="cellIs" dxfId="204" priority="199" operator="between">
      <formula>0.38</formula>
      <formula>0.475</formula>
    </cfRule>
  </conditionalFormatting>
  <conditionalFormatting sqref="AB13">
    <cfRule type="cellIs" dxfId="203" priority="198" operator="between">
      <formula>0.48</formula>
      <formula>0.51</formula>
    </cfRule>
  </conditionalFormatting>
  <conditionalFormatting sqref="AC13">
    <cfRule type="cellIs" dxfId="202" priority="197" operator="greaterThan">
      <formula>0.505</formula>
    </cfRule>
  </conditionalFormatting>
  <conditionalFormatting sqref="Y14">
    <cfRule type="cellIs" dxfId="201" priority="196" stopIfTrue="1" operator="between">
      <formula>0</formula>
      <formula>0.255</formula>
    </cfRule>
  </conditionalFormatting>
  <conditionalFormatting sqref="Z14">
    <cfRule type="cellIs" dxfId="200" priority="195" operator="between">
      <formula>0.2551</formula>
      <formula>0.375</formula>
    </cfRule>
  </conditionalFormatting>
  <conditionalFormatting sqref="AA14">
    <cfRule type="cellIs" dxfId="199" priority="194" operator="between">
      <formula>0.38</formula>
      <formula>0.475</formula>
    </cfRule>
  </conditionalFormatting>
  <conditionalFormatting sqref="AB14">
    <cfRule type="cellIs" dxfId="198" priority="193" operator="between">
      <formula>0.48</formula>
      <formula>0.51</formula>
    </cfRule>
  </conditionalFormatting>
  <conditionalFormatting sqref="AC14">
    <cfRule type="cellIs" dxfId="197" priority="192" operator="greaterThan">
      <formula>0.505</formula>
    </cfRule>
  </conditionalFormatting>
  <conditionalFormatting sqref="AF6">
    <cfRule type="cellIs" dxfId="196" priority="191" stopIfTrue="1" operator="between">
      <formula>0</formula>
      <formula>0.5</formula>
    </cfRule>
  </conditionalFormatting>
  <conditionalFormatting sqref="AG6">
    <cfRule type="cellIs" dxfId="195" priority="190" operator="between">
      <formula>0.51</formula>
      <formula>0.75</formula>
    </cfRule>
  </conditionalFormatting>
  <conditionalFormatting sqref="AH6">
    <cfRule type="cellIs" dxfId="194" priority="189" operator="between">
      <formula>0.76</formula>
      <formula>0.95</formula>
    </cfRule>
  </conditionalFormatting>
  <conditionalFormatting sqref="AI6">
    <cfRule type="cellIs" dxfId="193" priority="188" operator="between">
      <formula>0.95</formula>
      <formula>1</formula>
    </cfRule>
  </conditionalFormatting>
  <conditionalFormatting sqref="AJ6">
    <cfRule type="cellIs" dxfId="192" priority="187" operator="greaterThan">
      <formula>1</formula>
    </cfRule>
  </conditionalFormatting>
  <conditionalFormatting sqref="AF7">
    <cfRule type="cellIs" dxfId="191" priority="186" stopIfTrue="1" operator="between">
      <formula>0</formula>
      <formula>0.5</formula>
    </cfRule>
  </conditionalFormatting>
  <conditionalFormatting sqref="AG7">
    <cfRule type="cellIs" dxfId="190" priority="185" operator="between">
      <formula>0.51</formula>
      <formula>0.75</formula>
    </cfRule>
  </conditionalFormatting>
  <conditionalFormatting sqref="AH7">
    <cfRule type="cellIs" dxfId="189" priority="184" operator="between">
      <formula>0.76</formula>
      <formula>0.95</formula>
    </cfRule>
  </conditionalFormatting>
  <conditionalFormatting sqref="AI7">
    <cfRule type="cellIs" dxfId="188" priority="183" operator="between">
      <formula>0.95</formula>
      <formula>1</formula>
    </cfRule>
  </conditionalFormatting>
  <conditionalFormatting sqref="AJ7">
    <cfRule type="cellIs" dxfId="187" priority="182" operator="greaterThan">
      <formula>1</formula>
    </cfRule>
  </conditionalFormatting>
  <conditionalFormatting sqref="AF8">
    <cfRule type="cellIs" dxfId="186" priority="181" stopIfTrue="1" operator="between">
      <formula>0</formula>
      <formula>0.5</formula>
    </cfRule>
  </conditionalFormatting>
  <conditionalFormatting sqref="AG8">
    <cfRule type="cellIs" dxfId="185" priority="180" operator="between">
      <formula>0.51</formula>
      <formula>0.75</formula>
    </cfRule>
  </conditionalFormatting>
  <conditionalFormatting sqref="AH8">
    <cfRule type="cellIs" dxfId="184" priority="179" operator="between">
      <formula>0.76</formula>
      <formula>0.95</formula>
    </cfRule>
  </conditionalFormatting>
  <conditionalFormatting sqref="AI8">
    <cfRule type="cellIs" dxfId="183" priority="178" operator="between">
      <formula>0.95</formula>
      <formula>1</formula>
    </cfRule>
  </conditionalFormatting>
  <conditionalFormatting sqref="AJ8">
    <cfRule type="cellIs" dxfId="182" priority="177" operator="greaterThan">
      <formula>1</formula>
    </cfRule>
  </conditionalFormatting>
  <conditionalFormatting sqref="AF9">
    <cfRule type="cellIs" dxfId="181" priority="176" stopIfTrue="1" operator="between">
      <formula>0</formula>
      <formula>0.5</formula>
    </cfRule>
  </conditionalFormatting>
  <conditionalFormatting sqref="AG9">
    <cfRule type="cellIs" dxfId="180" priority="175" operator="between">
      <formula>0.51</formula>
      <formula>0.75</formula>
    </cfRule>
  </conditionalFormatting>
  <conditionalFormatting sqref="AH9">
    <cfRule type="cellIs" dxfId="179" priority="174" operator="between">
      <formula>0.76</formula>
      <formula>0.95</formula>
    </cfRule>
  </conditionalFormatting>
  <conditionalFormatting sqref="AI9">
    <cfRule type="cellIs" dxfId="178" priority="173" operator="between">
      <formula>0.95</formula>
      <formula>1</formula>
    </cfRule>
  </conditionalFormatting>
  <conditionalFormatting sqref="AJ9">
    <cfRule type="cellIs" dxfId="177" priority="172" operator="greaterThan">
      <formula>1</formula>
    </cfRule>
  </conditionalFormatting>
  <conditionalFormatting sqref="AF10">
    <cfRule type="cellIs" dxfId="176" priority="171" stopIfTrue="1" operator="between">
      <formula>0</formula>
      <formula>0.5</formula>
    </cfRule>
  </conditionalFormatting>
  <conditionalFormatting sqref="AG10">
    <cfRule type="cellIs" dxfId="175" priority="170" operator="between">
      <formula>0.51</formula>
      <formula>0.75</formula>
    </cfRule>
  </conditionalFormatting>
  <conditionalFormatting sqref="AH10">
    <cfRule type="cellIs" dxfId="174" priority="169" operator="between">
      <formula>0.76</formula>
      <formula>0.95</formula>
    </cfRule>
  </conditionalFormatting>
  <conditionalFormatting sqref="AI10">
    <cfRule type="cellIs" dxfId="173" priority="168" operator="between">
      <formula>0.95</formula>
      <formula>1</formula>
    </cfRule>
  </conditionalFormatting>
  <conditionalFormatting sqref="AJ10">
    <cfRule type="cellIs" dxfId="172" priority="167" operator="greaterThan">
      <formula>1</formula>
    </cfRule>
  </conditionalFormatting>
  <conditionalFormatting sqref="AF11">
    <cfRule type="cellIs" dxfId="171" priority="166" stopIfTrue="1" operator="between">
      <formula>0</formula>
      <formula>0.5</formula>
    </cfRule>
  </conditionalFormatting>
  <conditionalFormatting sqref="AG11">
    <cfRule type="cellIs" dxfId="170" priority="165" operator="between">
      <formula>0.51</formula>
      <formula>0.75</formula>
    </cfRule>
  </conditionalFormatting>
  <conditionalFormatting sqref="AH11">
    <cfRule type="cellIs" dxfId="169" priority="164" operator="between">
      <formula>0.76</formula>
      <formula>0.95</formula>
    </cfRule>
  </conditionalFormatting>
  <conditionalFormatting sqref="AI11">
    <cfRule type="cellIs" dxfId="168" priority="163" operator="between">
      <formula>0.95</formula>
      <formula>1</formula>
    </cfRule>
  </conditionalFormatting>
  <conditionalFormatting sqref="AJ11">
    <cfRule type="cellIs" dxfId="167" priority="162" operator="greaterThan">
      <formula>1</formula>
    </cfRule>
  </conditionalFormatting>
  <conditionalFormatting sqref="AF12">
    <cfRule type="cellIs" dxfId="166" priority="161" stopIfTrue="1" operator="between">
      <formula>0</formula>
      <formula>0.5</formula>
    </cfRule>
  </conditionalFormatting>
  <conditionalFormatting sqref="AG12">
    <cfRule type="cellIs" dxfId="165" priority="160" operator="between">
      <formula>0.51</formula>
      <formula>0.75</formula>
    </cfRule>
  </conditionalFormatting>
  <conditionalFormatting sqref="AH12">
    <cfRule type="cellIs" dxfId="164" priority="159" operator="between">
      <formula>0.76</formula>
      <formula>0.95</formula>
    </cfRule>
  </conditionalFormatting>
  <conditionalFormatting sqref="AI12">
    <cfRule type="cellIs" dxfId="163" priority="158" operator="between">
      <formula>0.95</formula>
      <formula>1</formula>
    </cfRule>
  </conditionalFormatting>
  <conditionalFormatting sqref="AJ12">
    <cfRule type="cellIs" dxfId="162" priority="157" operator="greaterThan">
      <formula>1</formula>
    </cfRule>
  </conditionalFormatting>
  <conditionalFormatting sqref="AF13">
    <cfRule type="cellIs" dxfId="161" priority="156" stopIfTrue="1" operator="between">
      <formula>0</formula>
      <formula>0.5</formula>
    </cfRule>
  </conditionalFormatting>
  <conditionalFormatting sqref="AG13">
    <cfRule type="cellIs" dxfId="160" priority="155" operator="between">
      <formula>0.51</formula>
      <formula>0.75</formula>
    </cfRule>
  </conditionalFormatting>
  <conditionalFormatting sqref="AH13">
    <cfRule type="cellIs" dxfId="159" priority="154" operator="between">
      <formula>0.76</formula>
      <formula>0.95</formula>
    </cfRule>
  </conditionalFormatting>
  <conditionalFormatting sqref="AI13">
    <cfRule type="cellIs" dxfId="158" priority="153" operator="between">
      <formula>0.95</formula>
      <formula>1</formula>
    </cfRule>
  </conditionalFormatting>
  <conditionalFormatting sqref="AJ13">
    <cfRule type="cellIs" dxfId="157" priority="152" operator="greaterThan">
      <formula>1</formula>
    </cfRule>
  </conditionalFormatting>
  <conditionalFormatting sqref="AF14">
    <cfRule type="cellIs" dxfId="156" priority="151" stopIfTrue="1" operator="between">
      <formula>0</formula>
      <formula>0.5</formula>
    </cfRule>
  </conditionalFormatting>
  <conditionalFormatting sqref="AG14">
    <cfRule type="cellIs" dxfId="155" priority="150" operator="between">
      <formula>0.51</formula>
      <formula>0.75</formula>
    </cfRule>
  </conditionalFormatting>
  <conditionalFormatting sqref="AH14">
    <cfRule type="cellIs" dxfId="154" priority="149" operator="between">
      <formula>0.76</formula>
      <formula>0.95</formula>
    </cfRule>
  </conditionalFormatting>
  <conditionalFormatting sqref="AI14">
    <cfRule type="cellIs" dxfId="153" priority="148" operator="between">
      <formula>0.95</formula>
      <formula>1</formula>
    </cfRule>
  </conditionalFormatting>
  <conditionalFormatting sqref="AJ14">
    <cfRule type="cellIs" dxfId="152" priority="147" operator="greaterThan">
      <formula>1</formula>
    </cfRule>
  </conditionalFormatting>
  <conditionalFormatting sqref="AM6">
    <cfRule type="cellIs" dxfId="151" priority="146" stopIfTrue="1" operator="between">
      <formula>0</formula>
      <formula>0.375</formula>
    </cfRule>
  </conditionalFormatting>
  <conditionalFormatting sqref="AN6">
    <cfRule type="cellIs" dxfId="150" priority="145" operator="between">
      <formula>0.3751</formula>
      <formula>0.5625</formula>
    </cfRule>
  </conditionalFormatting>
  <conditionalFormatting sqref="AO6">
    <cfRule type="cellIs" dxfId="149" priority="144" operator="between">
      <formula>0.563</formula>
      <formula>0.7125</formula>
    </cfRule>
  </conditionalFormatting>
  <conditionalFormatting sqref="AP6">
    <cfRule type="cellIs" dxfId="148" priority="143" operator="between">
      <formula>0.713</formula>
      <formula>0.75</formula>
    </cfRule>
  </conditionalFormatting>
  <conditionalFormatting sqref="AQ6">
    <cfRule type="cellIs" dxfId="147" priority="142" operator="greaterThan">
      <formula>0.755</formula>
    </cfRule>
  </conditionalFormatting>
  <conditionalFormatting sqref="AM7">
    <cfRule type="cellIs" dxfId="146" priority="141" stopIfTrue="1" operator="between">
      <formula>0</formula>
      <formula>0.375</formula>
    </cfRule>
  </conditionalFormatting>
  <conditionalFormatting sqref="AN7">
    <cfRule type="cellIs" dxfId="145" priority="140" operator="between">
      <formula>0.3751</formula>
      <formula>0.5625</formula>
    </cfRule>
  </conditionalFormatting>
  <conditionalFormatting sqref="AO7">
    <cfRule type="cellIs" dxfId="144" priority="139" operator="between">
      <formula>0.563</formula>
      <formula>0.7125</formula>
    </cfRule>
  </conditionalFormatting>
  <conditionalFormatting sqref="AP7">
    <cfRule type="cellIs" dxfId="143" priority="138" operator="between">
      <formula>0.713</formula>
      <formula>0.75</formula>
    </cfRule>
  </conditionalFormatting>
  <conditionalFormatting sqref="AQ7">
    <cfRule type="cellIs" dxfId="142" priority="137" operator="greaterThan">
      <formula>0.755</formula>
    </cfRule>
  </conditionalFormatting>
  <conditionalFormatting sqref="AM8">
    <cfRule type="cellIs" dxfId="141" priority="136" stopIfTrue="1" operator="between">
      <formula>0</formula>
      <formula>0.375</formula>
    </cfRule>
  </conditionalFormatting>
  <conditionalFormatting sqref="AN8">
    <cfRule type="cellIs" dxfId="140" priority="135" operator="between">
      <formula>0.3751</formula>
      <formula>0.5625</formula>
    </cfRule>
  </conditionalFormatting>
  <conditionalFormatting sqref="AO8">
    <cfRule type="cellIs" dxfId="139" priority="134" operator="between">
      <formula>0.563</formula>
      <formula>0.7125</formula>
    </cfRule>
  </conditionalFormatting>
  <conditionalFormatting sqref="AP8">
    <cfRule type="cellIs" dxfId="138" priority="133" operator="between">
      <formula>0.713</formula>
      <formula>0.75</formula>
    </cfRule>
  </conditionalFormatting>
  <conditionalFormatting sqref="AQ8">
    <cfRule type="cellIs" dxfId="137" priority="132" operator="greaterThan">
      <formula>0.755</formula>
    </cfRule>
  </conditionalFormatting>
  <conditionalFormatting sqref="AM9">
    <cfRule type="cellIs" dxfId="136" priority="131" stopIfTrue="1" operator="between">
      <formula>0</formula>
      <formula>0.375</formula>
    </cfRule>
  </conditionalFormatting>
  <conditionalFormatting sqref="AN9">
    <cfRule type="cellIs" dxfId="135" priority="130" operator="between">
      <formula>0.3751</formula>
      <formula>0.5625</formula>
    </cfRule>
  </conditionalFormatting>
  <conditionalFormatting sqref="AO9">
    <cfRule type="cellIs" dxfId="134" priority="129" operator="between">
      <formula>0.563</formula>
      <formula>0.7125</formula>
    </cfRule>
  </conditionalFormatting>
  <conditionalFormatting sqref="AP9">
    <cfRule type="cellIs" dxfId="133" priority="128" operator="between">
      <formula>0.713</formula>
      <formula>0.75</formula>
    </cfRule>
  </conditionalFormatting>
  <conditionalFormatting sqref="AQ9">
    <cfRule type="cellIs" dxfId="132" priority="127" operator="greaterThan">
      <formula>0.755</formula>
    </cfRule>
  </conditionalFormatting>
  <conditionalFormatting sqref="AM10">
    <cfRule type="cellIs" dxfId="131" priority="126" stopIfTrue="1" operator="between">
      <formula>0</formula>
      <formula>0.375</formula>
    </cfRule>
  </conditionalFormatting>
  <conditionalFormatting sqref="AN10">
    <cfRule type="cellIs" dxfId="130" priority="125" operator="between">
      <formula>0.3751</formula>
      <formula>0.5625</formula>
    </cfRule>
  </conditionalFormatting>
  <conditionalFormatting sqref="AO10">
    <cfRule type="cellIs" dxfId="129" priority="124" operator="between">
      <formula>0.563</formula>
      <formula>0.7125</formula>
    </cfRule>
  </conditionalFormatting>
  <conditionalFormatting sqref="AP10">
    <cfRule type="cellIs" dxfId="128" priority="123" operator="between">
      <formula>0.713</formula>
      <formula>0.75</formula>
    </cfRule>
  </conditionalFormatting>
  <conditionalFormatting sqref="AQ10">
    <cfRule type="cellIs" dxfId="127" priority="122" operator="greaterThan">
      <formula>0.755</formula>
    </cfRule>
  </conditionalFormatting>
  <conditionalFormatting sqref="AM11">
    <cfRule type="cellIs" dxfId="126" priority="121" stopIfTrue="1" operator="between">
      <formula>0</formula>
      <formula>0.375</formula>
    </cfRule>
  </conditionalFormatting>
  <conditionalFormatting sqref="AN11">
    <cfRule type="cellIs" dxfId="125" priority="120" operator="between">
      <formula>0.3751</formula>
      <formula>0.5625</formula>
    </cfRule>
  </conditionalFormatting>
  <conditionalFormatting sqref="AO11">
    <cfRule type="cellIs" dxfId="124" priority="119" operator="between">
      <formula>0.563</formula>
      <formula>0.7125</formula>
    </cfRule>
  </conditionalFormatting>
  <conditionalFormatting sqref="AP11">
    <cfRule type="cellIs" dxfId="123" priority="118" operator="between">
      <formula>0.713</formula>
      <formula>0.75</formula>
    </cfRule>
  </conditionalFormatting>
  <conditionalFormatting sqref="AQ11">
    <cfRule type="cellIs" dxfId="122" priority="117" operator="greaterThan">
      <formula>0.755</formula>
    </cfRule>
  </conditionalFormatting>
  <conditionalFormatting sqref="AM12">
    <cfRule type="cellIs" dxfId="121" priority="116" stopIfTrue="1" operator="between">
      <formula>0</formula>
      <formula>0.375</formula>
    </cfRule>
  </conditionalFormatting>
  <conditionalFormatting sqref="AN12">
    <cfRule type="cellIs" dxfId="120" priority="115" operator="between">
      <formula>0.3751</formula>
      <formula>0.5625</formula>
    </cfRule>
  </conditionalFormatting>
  <conditionalFormatting sqref="AO12">
    <cfRule type="cellIs" dxfId="119" priority="114" operator="between">
      <formula>0.563</formula>
      <formula>0.7125</formula>
    </cfRule>
  </conditionalFormatting>
  <conditionalFormatting sqref="AP12">
    <cfRule type="cellIs" dxfId="118" priority="113" operator="between">
      <formula>0.713</formula>
      <formula>0.75</formula>
    </cfRule>
  </conditionalFormatting>
  <conditionalFormatting sqref="AQ12">
    <cfRule type="cellIs" dxfId="117" priority="112" operator="greaterThan">
      <formula>0.755</formula>
    </cfRule>
  </conditionalFormatting>
  <conditionalFormatting sqref="AM13">
    <cfRule type="cellIs" dxfId="116" priority="111" stopIfTrue="1" operator="between">
      <formula>0</formula>
      <formula>0.375</formula>
    </cfRule>
  </conditionalFormatting>
  <conditionalFormatting sqref="AN13">
    <cfRule type="cellIs" dxfId="115" priority="110" operator="between">
      <formula>0.3751</formula>
      <formula>0.5625</formula>
    </cfRule>
  </conditionalFormatting>
  <conditionalFormatting sqref="AO13">
    <cfRule type="cellIs" dxfId="114" priority="109" operator="between">
      <formula>0.563</formula>
      <formula>0.7125</formula>
    </cfRule>
  </conditionalFormatting>
  <conditionalFormatting sqref="AP13">
    <cfRule type="cellIs" dxfId="113" priority="108" operator="between">
      <formula>0.713</formula>
      <formula>0.75</formula>
    </cfRule>
  </conditionalFormatting>
  <conditionalFormatting sqref="AQ13">
    <cfRule type="cellIs" dxfId="112" priority="107" operator="greaterThan">
      <formula>0.755</formula>
    </cfRule>
  </conditionalFormatting>
  <conditionalFormatting sqref="AM14">
    <cfRule type="cellIs" dxfId="111" priority="106" stopIfTrue="1" operator="between">
      <formula>0</formula>
      <formula>0.375</formula>
    </cfRule>
  </conditionalFormatting>
  <conditionalFormatting sqref="AN14">
    <cfRule type="cellIs" dxfId="110" priority="105" operator="between">
      <formula>0.3751</formula>
      <formula>0.5625</formula>
    </cfRule>
  </conditionalFormatting>
  <conditionalFormatting sqref="AO14">
    <cfRule type="cellIs" dxfId="109" priority="104" operator="between">
      <formula>0.563</formula>
      <formula>0.7125</formula>
    </cfRule>
  </conditionalFormatting>
  <conditionalFormatting sqref="AP14">
    <cfRule type="cellIs" dxfId="108" priority="103" operator="between">
      <formula>0.713</formula>
      <formula>0.75</formula>
    </cfRule>
  </conditionalFormatting>
  <conditionalFormatting sqref="AQ14">
    <cfRule type="cellIs" dxfId="107" priority="102" operator="greaterThan">
      <formula>0.755</formula>
    </cfRule>
  </conditionalFormatting>
  <conditionalFormatting sqref="AT6">
    <cfRule type="cellIs" dxfId="106" priority="101" stopIfTrue="1" operator="between">
      <formula>0</formula>
      <formula>0.5</formula>
    </cfRule>
  </conditionalFormatting>
  <conditionalFormatting sqref="AU6">
    <cfRule type="cellIs" dxfId="105" priority="100" operator="between">
      <formula>0.51</formula>
      <formula>0.75</formula>
    </cfRule>
  </conditionalFormatting>
  <conditionalFormatting sqref="AV6">
    <cfRule type="cellIs" dxfId="104" priority="99" operator="between">
      <formula>0.76</formula>
      <formula>0.95</formula>
    </cfRule>
  </conditionalFormatting>
  <conditionalFormatting sqref="AW6">
    <cfRule type="cellIs" dxfId="103" priority="98" operator="between">
      <formula>0.95</formula>
      <formula>1</formula>
    </cfRule>
  </conditionalFormatting>
  <conditionalFormatting sqref="AX6">
    <cfRule type="cellIs" dxfId="102" priority="97" operator="greaterThan">
      <formula>1</formula>
    </cfRule>
  </conditionalFormatting>
  <conditionalFormatting sqref="AT7">
    <cfRule type="cellIs" dxfId="101" priority="96" stopIfTrue="1" operator="between">
      <formula>0</formula>
      <formula>0.5</formula>
    </cfRule>
  </conditionalFormatting>
  <conditionalFormatting sqref="AU7">
    <cfRule type="cellIs" dxfId="100" priority="95" operator="between">
      <formula>0.51</formula>
      <formula>0.75</formula>
    </cfRule>
  </conditionalFormatting>
  <conditionalFormatting sqref="AV7">
    <cfRule type="cellIs" dxfId="99" priority="94" operator="between">
      <formula>0.76</formula>
      <formula>0.95</formula>
    </cfRule>
  </conditionalFormatting>
  <conditionalFormatting sqref="AW7">
    <cfRule type="cellIs" dxfId="98" priority="93" operator="between">
      <formula>0.95</formula>
      <formula>1</formula>
    </cfRule>
  </conditionalFormatting>
  <conditionalFormatting sqref="AX7">
    <cfRule type="cellIs" dxfId="97" priority="92" operator="greaterThan">
      <formula>1</formula>
    </cfRule>
  </conditionalFormatting>
  <conditionalFormatting sqref="AT8">
    <cfRule type="cellIs" dxfId="96" priority="91" stopIfTrue="1" operator="between">
      <formula>0</formula>
      <formula>0.5</formula>
    </cfRule>
  </conditionalFormatting>
  <conditionalFormatting sqref="AU8">
    <cfRule type="cellIs" dxfId="95" priority="90" operator="between">
      <formula>0.51</formula>
      <formula>0.75</formula>
    </cfRule>
  </conditionalFormatting>
  <conditionalFormatting sqref="AV8">
    <cfRule type="cellIs" dxfId="94" priority="89" operator="between">
      <formula>0.76</formula>
      <formula>0.95</formula>
    </cfRule>
  </conditionalFormatting>
  <conditionalFormatting sqref="AW8">
    <cfRule type="cellIs" dxfId="93" priority="88" operator="between">
      <formula>0.95</formula>
      <formula>1</formula>
    </cfRule>
  </conditionalFormatting>
  <conditionalFormatting sqref="AX8">
    <cfRule type="cellIs" dxfId="92" priority="87" operator="greaterThan">
      <formula>1</formula>
    </cfRule>
  </conditionalFormatting>
  <conditionalFormatting sqref="AT9">
    <cfRule type="cellIs" dxfId="91" priority="86" stopIfTrue="1" operator="between">
      <formula>0</formula>
      <formula>0.5</formula>
    </cfRule>
  </conditionalFormatting>
  <conditionalFormatting sqref="AU9">
    <cfRule type="cellIs" dxfId="90" priority="85" operator="between">
      <formula>0.51</formula>
      <formula>0.75</formula>
    </cfRule>
  </conditionalFormatting>
  <conditionalFormatting sqref="AV9">
    <cfRule type="cellIs" dxfId="89" priority="84" operator="between">
      <formula>0.76</formula>
      <formula>0.95</formula>
    </cfRule>
  </conditionalFormatting>
  <conditionalFormatting sqref="AW9">
    <cfRule type="cellIs" dxfId="88" priority="83" operator="between">
      <formula>0.95</formula>
      <formula>1</formula>
    </cfRule>
  </conditionalFormatting>
  <conditionalFormatting sqref="AX9">
    <cfRule type="cellIs" dxfId="87" priority="82" operator="greaterThan">
      <formula>1</formula>
    </cfRule>
  </conditionalFormatting>
  <conditionalFormatting sqref="AT10">
    <cfRule type="cellIs" dxfId="86" priority="81" stopIfTrue="1" operator="between">
      <formula>0</formula>
      <formula>0.5</formula>
    </cfRule>
  </conditionalFormatting>
  <conditionalFormatting sqref="AU10">
    <cfRule type="cellIs" dxfId="85" priority="80" operator="between">
      <formula>0.51</formula>
      <formula>0.75</formula>
    </cfRule>
  </conditionalFormatting>
  <conditionalFormatting sqref="AV10">
    <cfRule type="cellIs" dxfId="84" priority="79" operator="between">
      <formula>0.76</formula>
      <formula>0.95</formula>
    </cfRule>
  </conditionalFormatting>
  <conditionalFormatting sqref="AW10">
    <cfRule type="cellIs" dxfId="83" priority="78" operator="between">
      <formula>0.95</formula>
      <formula>1</formula>
    </cfRule>
  </conditionalFormatting>
  <conditionalFormatting sqref="AX10">
    <cfRule type="cellIs" dxfId="82" priority="77" operator="greaterThan">
      <formula>1</formula>
    </cfRule>
  </conditionalFormatting>
  <conditionalFormatting sqref="AT11">
    <cfRule type="cellIs" dxfId="81" priority="76" stopIfTrue="1" operator="between">
      <formula>0</formula>
      <formula>0.5</formula>
    </cfRule>
  </conditionalFormatting>
  <conditionalFormatting sqref="AU11">
    <cfRule type="cellIs" dxfId="80" priority="75" operator="between">
      <formula>0.51</formula>
      <formula>0.75</formula>
    </cfRule>
  </conditionalFormatting>
  <conditionalFormatting sqref="AV11">
    <cfRule type="cellIs" dxfId="79" priority="74" operator="between">
      <formula>0.76</formula>
      <formula>0.95</formula>
    </cfRule>
  </conditionalFormatting>
  <conditionalFormatting sqref="AW11">
    <cfRule type="cellIs" dxfId="78" priority="73" operator="between">
      <formula>0.95</formula>
      <formula>1</formula>
    </cfRule>
  </conditionalFormatting>
  <conditionalFormatting sqref="AX11">
    <cfRule type="cellIs" dxfId="77" priority="72" operator="greaterThan">
      <formula>1</formula>
    </cfRule>
  </conditionalFormatting>
  <conditionalFormatting sqref="AT12">
    <cfRule type="cellIs" dxfId="76" priority="71" stopIfTrue="1" operator="between">
      <formula>0</formula>
      <formula>0.5</formula>
    </cfRule>
  </conditionalFormatting>
  <conditionalFormatting sqref="AU12">
    <cfRule type="cellIs" dxfId="75" priority="70" operator="between">
      <formula>0.51</formula>
      <formula>0.75</formula>
    </cfRule>
  </conditionalFormatting>
  <conditionalFormatting sqref="AV12">
    <cfRule type="cellIs" dxfId="74" priority="69" operator="between">
      <formula>0.76</formula>
      <formula>0.95</formula>
    </cfRule>
  </conditionalFormatting>
  <conditionalFormatting sqref="AW12">
    <cfRule type="cellIs" dxfId="73" priority="68" operator="between">
      <formula>0.95</formula>
      <formula>1</formula>
    </cfRule>
  </conditionalFormatting>
  <conditionalFormatting sqref="AX12">
    <cfRule type="cellIs" dxfId="72" priority="67" operator="greaterThan">
      <formula>1</formula>
    </cfRule>
  </conditionalFormatting>
  <conditionalFormatting sqref="AT13">
    <cfRule type="cellIs" dxfId="71" priority="66" stopIfTrue="1" operator="between">
      <formula>0</formula>
      <formula>0.5</formula>
    </cfRule>
  </conditionalFormatting>
  <conditionalFormatting sqref="AU13">
    <cfRule type="cellIs" dxfId="70" priority="65" operator="between">
      <formula>0.51</formula>
      <formula>0.75</formula>
    </cfRule>
  </conditionalFormatting>
  <conditionalFormatting sqref="AV13">
    <cfRule type="cellIs" dxfId="69" priority="64" operator="between">
      <formula>0.76</formula>
      <formula>0.95</formula>
    </cfRule>
  </conditionalFormatting>
  <conditionalFormatting sqref="AW13">
    <cfRule type="cellIs" dxfId="68" priority="63" operator="between">
      <formula>0.95</formula>
      <formula>1</formula>
    </cfRule>
  </conditionalFormatting>
  <conditionalFormatting sqref="AX13">
    <cfRule type="cellIs" dxfId="67" priority="62" operator="greaterThan">
      <formula>1</formula>
    </cfRule>
  </conditionalFormatting>
  <conditionalFormatting sqref="AT14">
    <cfRule type="cellIs" dxfId="66" priority="61" stopIfTrue="1" operator="between">
      <formula>0</formula>
      <formula>0.5</formula>
    </cfRule>
  </conditionalFormatting>
  <conditionalFormatting sqref="AU14">
    <cfRule type="cellIs" dxfId="65" priority="60" operator="between">
      <formula>0.51</formula>
      <formula>0.75</formula>
    </cfRule>
  </conditionalFormatting>
  <conditionalFormatting sqref="AV14">
    <cfRule type="cellIs" dxfId="64" priority="59" operator="between">
      <formula>0.76</formula>
      <formula>0.95</formula>
    </cfRule>
  </conditionalFormatting>
  <conditionalFormatting sqref="AW14">
    <cfRule type="cellIs" dxfId="63" priority="58" operator="between">
      <formula>0.95</formula>
      <formula>1</formula>
    </cfRule>
  </conditionalFormatting>
  <conditionalFormatting sqref="AX14">
    <cfRule type="cellIs" dxfId="62" priority="57" operator="greaterThan">
      <formula>1</formula>
    </cfRule>
  </conditionalFormatting>
  <conditionalFormatting sqref="BA6">
    <cfRule type="cellIs" dxfId="61" priority="56" operator="between">
      <formula>0.501</formula>
      <formula>0.75</formula>
    </cfRule>
  </conditionalFormatting>
  <conditionalFormatting sqref="BB6">
    <cfRule type="cellIs" dxfId="60" priority="55" operator="between">
      <formula>0.76</formula>
      <formula>0.95</formula>
    </cfRule>
  </conditionalFormatting>
  <conditionalFormatting sqref="BC6">
    <cfRule type="cellIs" dxfId="59" priority="54" operator="between">
      <formula>0.95</formula>
      <formula>1</formula>
    </cfRule>
  </conditionalFormatting>
  <conditionalFormatting sqref="BD6">
    <cfRule type="cellIs" dxfId="58" priority="53" operator="greaterThan">
      <formula>1</formula>
    </cfRule>
  </conditionalFormatting>
  <conditionalFormatting sqref="AZ6">
    <cfRule type="cellIs" dxfId="57" priority="52" stopIfTrue="1" operator="between">
      <formula>0</formula>
      <formula>0.5</formula>
    </cfRule>
  </conditionalFormatting>
  <conditionalFormatting sqref="BA7">
    <cfRule type="cellIs" dxfId="56" priority="51" operator="between">
      <formula>0.501</formula>
      <formula>0.75</formula>
    </cfRule>
  </conditionalFormatting>
  <conditionalFormatting sqref="BB7">
    <cfRule type="cellIs" dxfId="55" priority="50" operator="between">
      <formula>0.76</formula>
      <formula>0.95</formula>
    </cfRule>
  </conditionalFormatting>
  <conditionalFormatting sqref="BC7">
    <cfRule type="cellIs" dxfId="54" priority="49" operator="between">
      <formula>0.95</formula>
      <formula>1</formula>
    </cfRule>
  </conditionalFormatting>
  <conditionalFormatting sqref="BD7">
    <cfRule type="cellIs" dxfId="53" priority="48" operator="greaterThan">
      <formula>1</formula>
    </cfRule>
  </conditionalFormatting>
  <conditionalFormatting sqref="AZ7">
    <cfRule type="cellIs" dxfId="52" priority="47" stopIfTrue="1" operator="between">
      <formula>0</formula>
      <formula>0.5</formula>
    </cfRule>
  </conditionalFormatting>
  <conditionalFormatting sqref="BA8">
    <cfRule type="cellIs" dxfId="51" priority="46" operator="between">
      <formula>0.501</formula>
      <formula>0.75</formula>
    </cfRule>
  </conditionalFormatting>
  <conditionalFormatting sqref="BB8">
    <cfRule type="cellIs" dxfId="50" priority="45" operator="between">
      <formula>0.76</formula>
      <formula>0.95</formula>
    </cfRule>
  </conditionalFormatting>
  <conditionalFormatting sqref="BC8">
    <cfRule type="cellIs" dxfId="49" priority="44" operator="between">
      <formula>0.95</formula>
      <formula>1</formula>
    </cfRule>
  </conditionalFormatting>
  <conditionalFormatting sqref="BD8">
    <cfRule type="cellIs" dxfId="48" priority="43" operator="greaterThan">
      <formula>1</formula>
    </cfRule>
  </conditionalFormatting>
  <conditionalFormatting sqref="AZ8">
    <cfRule type="cellIs" dxfId="47" priority="42" stopIfTrue="1" operator="between">
      <formula>0</formula>
      <formula>0.5</formula>
    </cfRule>
  </conditionalFormatting>
  <conditionalFormatting sqref="BA9">
    <cfRule type="cellIs" dxfId="46" priority="41" operator="between">
      <formula>0.501</formula>
      <formula>0.75</formula>
    </cfRule>
  </conditionalFormatting>
  <conditionalFormatting sqref="BB9">
    <cfRule type="cellIs" dxfId="45" priority="40" operator="between">
      <formula>0.76</formula>
      <formula>0.95</formula>
    </cfRule>
  </conditionalFormatting>
  <conditionalFormatting sqref="BC9">
    <cfRule type="cellIs" dxfId="44" priority="39" operator="between">
      <formula>0.95</formula>
      <formula>1</formula>
    </cfRule>
  </conditionalFormatting>
  <conditionalFormatting sqref="BD9">
    <cfRule type="cellIs" dxfId="43" priority="38" operator="greaterThan">
      <formula>1</formula>
    </cfRule>
  </conditionalFormatting>
  <conditionalFormatting sqref="AZ9">
    <cfRule type="cellIs" dxfId="42" priority="37" stopIfTrue="1" operator="between">
      <formula>0</formula>
      <formula>0.5</formula>
    </cfRule>
  </conditionalFormatting>
  <conditionalFormatting sqref="BA10">
    <cfRule type="cellIs" dxfId="41" priority="36" operator="between">
      <formula>0.501</formula>
      <formula>0.75</formula>
    </cfRule>
  </conditionalFormatting>
  <conditionalFormatting sqref="BB10">
    <cfRule type="cellIs" dxfId="40" priority="35" operator="between">
      <formula>0.76</formula>
      <formula>0.95</formula>
    </cfRule>
  </conditionalFormatting>
  <conditionalFormatting sqref="BC10">
    <cfRule type="cellIs" dxfId="39" priority="34" operator="between">
      <formula>0.95</formula>
      <formula>1</formula>
    </cfRule>
  </conditionalFormatting>
  <conditionalFormatting sqref="BD10">
    <cfRule type="cellIs" dxfId="38" priority="33" operator="greaterThan">
      <formula>1</formula>
    </cfRule>
  </conditionalFormatting>
  <conditionalFormatting sqref="AZ10">
    <cfRule type="cellIs" dxfId="37" priority="32" stopIfTrue="1" operator="between">
      <formula>0</formula>
      <formula>0.5</formula>
    </cfRule>
  </conditionalFormatting>
  <conditionalFormatting sqref="BA11">
    <cfRule type="cellIs" dxfId="36" priority="31" operator="between">
      <formula>0.501</formula>
      <formula>0.75</formula>
    </cfRule>
  </conditionalFormatting>
  <conditionalFormatting sqref="BB11">
    <cfRule type="cellIs" dxfId="35" priority="30" operator="between">
      <formula>0.76</formula>
      <formula>0.95</formula>
    </cfRule>
  </conditionalFormatting>
  <conditionalFormatting sqref="BC11">
    <cfRule type="cellIs" dxfId="34" priority="29" operator="between">
      <formula>0.95</formula>
      <formula>1</formula>
    </cfRule>
  </conditionalFormatting>
  <conditionalFormatting sqref="BD11">
    <cfRule type="cellIs" dxfId="33" priority="28" operator="greaterThan">
      <formula>1</formula>
    </cfRule>
  </conditionalFormatting>
  <conditionalFormatting sqref="AZ11">
    <cfRule type="cellIs" dxfId="32" priority="27" stopIfTrue="1" operator="between">
      <formula>0</formula>
      <formula>0.5</formula>
    </cfRule>
  </conditionalFormatting>
  <conditionalFormatting sqref="BA12">
    <cfRule type="cellIs" dxfId="31" priority="26" operator="between">
      <formula>0.501</formula>
      <formula>0.75</formula>
    </cfRule>
  </conditionalFormatting>
  <conditionalFormatting sqref="BB12">
    <cfRule type="cellIs" dxfId="30" priority="25" operator="between">
      <formula>0.76</formula>
      <formula>0.95</formula>
    </cfRule>
  </conditionalFormatting>
  <conditionalFormatting sqref="BC12">
    <cfRule type="cellIs" dxfId="29" priority="24" operator="between">
      <formula>0.95</formula>
      <formula>1</formula>
    </cfRule>
  </conditionalFormatting>
  <conditionalFormatting sqref="BD12">
    <cfRule type="cellIs" dxfId="28" priority="23" operator="greaterThan">
      <formula>1</formula>
    </cfRule>
  </conditionalFormatting>
  <conditionalFormatting sqref="AZ12">
    <cfRule type="cellIs" dxfId="27" priority="22" stopIfTrue="1" operator="between">
      <formula>0</formula>
      <formula>0.5</formula>
    </cfRule>
  </conditionalFormatting>
  <conditionalFormatting sqref="BA13">
    <cfRule type="cellIs" dxfId="26" priority="21" operator="between">
      <formula>0.501</formula>
      <formula>0.75</formula>
    </cfRule>
  </conditionalFormatting>
  <conditionalFormatting sqref="BB13">
    <cfRule type="cellIs" dxfId="25" priority="20" operator="between">
      <formula>0.76</formula>
      <formula>0.95</formula>
    </cfRule>
  </conditionalFormatting>
  <conditionalFormatting sqref="BC13">
    <cfRule type="cellIs" dxfId="24" priority="19" operator="between">
      <formula>0.95</formula>
      <formula>1</formula>
    </cfRule>
  </conditionalFormatting>
  <conditionalFormatting sqref="BD13">
    <cfRule type="cellIs" dxfId="23" priority="18" operator="greaterThan">
      <formula>1</formula>
    </cfRule>
  </conditionalFormatting>
  <conditionalFormatting sqref="AZ13">
    <cfRule type="cellIs" dxfId="22" priority="17" stopIfTrue="1" operator="between">
      <formula>0</formula>
      <formula>0.5</formula>
    </cfRule>
  </conditionalFormatting>
  <conditionalFormatting sqref="BA14">
    <cfRule type="cellIs" dxfId="21" priority="16" operator="between">
      <formula>0.501</formula>
      <formula>0.75</formula>
    </cfRule>
  </conditionalFormatting>
  <conditionalFormatting sqref="BB14">
    <cfRule type="cellIs" dxfId="20" priority="15" operator="between">
      <formula>0.76</formula>
      <formula>0.95</formula>
    </cfRule>
  </conditionalFormatting>
  <conditionalFormatting sqref="BC14">
    <cfRule type="cellIs" dxfId="19" priority="14" operator="between">
      <formula>0.95</formula>
      <formula>1</formula>
    </cfRule>
  </conditionalFormatting>
  <conditionalFormatting sqref="BD14">
    <cfRule type="cellIs" dxfId="18" priority="13" operator="greaterThan">
      <formula>1</formula>
    </cfRule>
  </conditionalFormatting>
  <conditionalFormatting sqref="AZ14">
    <cfRule type="cellIs" dxfId="17" priority="12" stopIfTrue="1" operator="between">
      <formula>0</formula>
      <formula>0.5</formula>
    </cfRule>
  </conditionalFormatting>
  <conditionalFormatting sqref="Y6">
    <cfRule type="cellIs" dxfId="16" priority="11" stopIfTrue="1" operator="between">
      <formula>0</formula>
      <formula>0.255</formula>
    </cfRule>
  </conditionalFormatting>
  <conditionalFormatting sqref="Z6">
    <cfRule type="cellIs" dxfId="15" priority="10" operator="between">
      <formula>0.2551</formula>
      <formula>0.375</formula>
    </cfRule>
  </conditionalFormatting>
  <conditionalFormatting sqref="AA6">
    <cfRule type="cellIs" dxfId="14" priority="9" operator="between">
      <formula>0.3751</formula>
      <formula>0.475</formula>
    </cfRule>
  </conditionalFormatting>
  <conditionalFormatting sqref="AB6">
    <cfRule type="cellIs" dxfId="13" priority="8" operator="between">
      <formula>0.4751</formula>
      <formula>0.51</formula>
    </cfRule>
  </conditionalFormatting>
  <conditionalFormatting sqref="AC6">
    <cfRule type="cellIs" dxfId="12" priority="7" operator="greaterThan">
      <formula>0.505</formula>
    </cfRule>
  </conditionalFormatting>
  <conditionalFormatting sqref="AD8">
    <cfRule type="cellIs" dxfId="11" priority="6" operator="greaterThan">
      <formula>0.505</formula>
    </cfRule>
  </conditionalFormatting>
  <conditionalFormatting sqref="Y8">
    <cfRule type="cellIs" dxfId="10" priority="5" stopIfTrue="1" operator="between">
      <formula>0</formula>
      <formula>0.255</formula>
    </cfRule>
  </conditionalFormatting>
  <conditionalFormatting sqref="Z8">
    <cfRule type="cellIs" dxfId="9" priority="4" operator="between">
      <formula>0.2551</formula>
      <formula>0.375</formula>
    </cfRule>
  </conditionalFormatting>
  <conditionalFormatting sqref="AA8">
    <cfRule type="cellIs" dxfId="8" priority="3" operator="between">
      <formula>0.3751</formula>
      <formula>0.475</formula>
    </cfRule>
  </conditionalFormatting>
  <conditionalFormatting sqref="AB8">
    <cfRule type="cellIs" dxfId="7" priority="2" operator="between">
      <formula>0.48</formula>
      <formula>0.51</formula>
    </cfRule>
  </conditionalFormatting>
  <conditionalFormatting sqref="AC8">
    <cfRule type="cellIs" dxfId="6"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Z30"/>
  <sheetViews>
    <sheetView showGridLines="0" topLeftCell="A8" zoomScale="55" zoomScaleNormal="55" workbookViewId="0">
      <selection activeCell="H34" sqref="H34"/>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24.28515625" style="298" customWidth="1"/>
    <col min="9" max="9" width="35.28515625" style="297" customWidth="1"/>
    <col min="10" max="10" width="15.7109375" style="297" customWidth="1"/>
    <col min="11" max="11" width="2.5703125" style="299" customWidth="1"/>
    <col min="12" max="12" width="12.42578125" style="297" customWidth="1"/>
    <col min="13" max="13" width="30.7109375" style="297" customWidth="1"/>
    <col min="14" max="14" width="15.85546875" style="297" customWidth="1"/>
    <col min="15" max="15" width="2.5703125" style="299" customWidth="1"/>
    <col min="16" max="16" width="15.85546875" style="297" customWidth="1"/>
    <col min="17" max="18" width="15.5703125" style="297" customWidth="1"/>
    <col min="19" max="19" width="2.5703125" style="299" customWidth="1"/>
    <col min="20" max="20" width="12.5703125" style="297" customWidth="1"/>
    <col min="21" max="21" width="16.28515625" style="297" customWidth="1"/>
    <col min="22" max="22" width="18.140625" style="297" customWidth="1"/>
    <col min="23" max="23" width="12" style="297" hidden="1" customWidth="1"/>
    <col min="24" max="24" width="5.7109375" style="297" customWidth="1"/>
    <col min="25" max="26" width="0" style="297" hidden="1" customWidth="1"/>
    <col min="27" max="27" width="2.7109375" style="297" hidden="1" customWidth="1"/>
    <col min="28" max="29" width="0" style="297" hidden="1" customWidth="1"/>
    <col min="30" max="30" width="2.7109375" style="297" hidden="1" customWidth="1"/>
    <col min="31" max="32" width="0" style="297" hidden="1" customWidth="1"/>
    <col min="33" max="33" width="2.7109375" style="297" hidden="1" customWidth="1"/>
    <col min="34" max="35" width="0" style="297" hidden="1" customWidth="1"/>
    <col min="36" max="36" width="2.7109375" style="297" hidden="1" customWidth="1"/>
    <col min="37" max="37" width="0" style="297" hidden="1" customWidth="1"/>
    <col min="38" max="38" width="5.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9" width="0" style="297" hidden="1" customWidth="1"/>
    <col min="50" max="50" width="2.7109375" style="297" hidden="1" customWidth="1"/>
    <col min="51" max="51" width="0" style="297" hidden="1" customWidth="1"/>
    <col min="52" max="52" width="5.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3" width="0" style="297" hidden="1" customWidth="1"/>
    <col min="64" max="64" width="2.7109375" style="297" hidden="1" customWidth="1"/>
    <col min="65" max="65" width="0" style="297" hidden="1" customWidth="1"/>
    <col min="66" max="66" width="5.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7" width="0" style="297" hidden="1" customWidth="1"/>
    <col min="78" max="78" width="2.7109375" style="297" hidden="1" customWidth="1"/>
    <col min="79" max="79" width="0" style="297" hidden="1" customWidth="1"/>
    <col min="80" max="255" width="11" style="297"/>
    <col min="256" max="256" width="1.5703125" style="297" customWidth="1"/>
    <col min="257" max="257" width="8.5703125" style="297" customWidth="1"/>
    <col min="258" max="258" width="28.7109375" style="297" customWidth="1"/>
    <col min="259" max="259" width="26.5703125" style="297" customWidth="1"/>
    <col min="260" max="260" width="7.7109375" style="297" customWidth="1"/>
    <col min="261" max="261" width="19.42578125" style="297" customWidth="1"/>
    <col min="262" max="262" width="44.28515625" style="297" customWidth="1"/>
    <col min="263" max="263" width="17" style="297" customWidth="1"/>
    <col min="264" max="264" width="15.5703125" style="297" customWidth="1"/>
    <col min="265" max="265" width="14.140625" style="297" customWidth="1"/>
    <col min="266" max="266" width="1.7109375" style="297" customWidth="1"/>
    <col min="267" max="267" width="13.7109375" style="297" customWidth="1"/>
    <col min="268" max="268" width="13.85546875" style="297" bestFit="1" customWidth="1"/>
    <col min="269" max="269" width="2.5703125" style="297" customWidth="1"/>
    <col min="270" max="270" width="12.42578125" style="297" customWidth="1"/>
    <col min="271" max="271" width="13.5703125" style="297" customWidth="1"/>
    <col min="272" max="272" width="2.5703125" style="297" customWidth="1"/>
    <col min="273" max="273" width="12.42578125" style="297" customWidth="1"/>
    <col min="274" max="274" width="13.5703125" style="297" customWidth="1"/>
    <col min="275" max="275" width="2.5703125" style="297" customWidth="1"/>
    <col min="276" max="276" width="11.5703125" style="297" customWidth="1"/>
    <col min="277" max="277" width="13" style="297" customWidth="1"/>
    <col min="278" max="278" width="1.42578125" style="297" customWidth="1"/>
    <col min="279" max="279" width="10.5703125" style="297" customWidth="1"/>
    <col min="280" max="511" width="11" style="297"/>
    <col min="512" max="512" width="1.5703125" style="297" customWidth="1"/>
    <col min="513" max="513" width="8.5703125" style="297" customWidth="1"/>
    <col min="514" max="514" width="28.7109375" style="297" customWidth="1"/>
    <col min="515" max="515" width="26.5703125" style="297" customWidth="1"/>
    <col min="516" max="516" width="7.7109375" style="297" customWidth="1"/>
    <col min="517" max="517" width="19.42578125" style="297" customWidth="1"/>
    <col min="518" max="518" width="44.28515625" style="297" customWidth="1"/>
    <col min="519" max="519" width="17" style="297" customWidth="1"/>
    <col min="520" max="520" width="15.5703125" style="297" customWidth="1"/>
    <col min="521" max="521" width="14.140625" style="297" customWidth="1"/>
    <col min="522" max="522" width="1.7109375" style="297" customWidth="1"/>
    <col min="523" max="523" width="13.7109375" style="297" customWidth="1"/>
    <col min="524" max="524" width="13.85546875" style="297" bestFit="1" customWidth="1"/>
    <col min="525" max="525" width="2.5703125" style="297" customWidth="1"/>
    <col min="526" max="526" width="12.42578125" style="297" customWidth="1"/>
    <col min="527" max="527" width="13.5703125" style="297" customWidth="1"/>
    <col min="528" max="528" width="2.5703125" style="297" customWidth="1"/>
    <col min="529" max="529" width="12.42578125" style="297" customWidth="1"/>
    <col min="530" max="530" width="13.5703125" style="297" customWidth="1"/>
    <col min="531" max="531" width="2.5703125" style="297" customWidth="1"/>
    <col min="532" max="532" width="11.5703125" style="297" customWidth="1"/>
    <col min="533" max="533" width="13" style="297" customWidth="1"/>
    <col min="534" max="534" width="1.42578125" style="297" customWidth="1"/>
    <col min="535" max="535" width="10.5703125" style="297" customWidth="1"/>
    <col min="536" max="767" width="11" style="297"/>
    <col min="768" max="768" width="1.5703125" style="297" customWidth="1"/>
    <col min="769" max="769" width="8.5703125" style="297" customWidth="1"/>
    <col min="770" max="770" width="28.7109375" style="297" customWidth="1"/>
    <col min="771" max="771" width="26.5703125" style="297" customWidth="1"/>
    <col min="772" max="772" width="7.7109375" style="297" customWidth="1"/>
    <col min="773" max="773" width="19.42578125" style="297" customWidth="1"/>
    <col min="774" max="774" width="44.28515625" style="297" customWidth="1"/>
    <col min="775" max="775" width="17" style="297" customWidth="1"/>
    <col min="776" max="776" width="15.5703125" style="297" customWidth="1"/>
    <col min="777" max="777" width="14.140625" style="297" customWidth="1"/>
    <col min="778" max="778" width="1.7109375" style="297" customWidth="1"/>
    <col min="779" max="779" width="13.7109375" style="297" customWidth="1"/>
    <col min="780" max="780" width="13.85546875" style="297" bestFit="1" customWidth="1"/>
    <col min="781" max="781" width="2.5703125" style="297" customWidth="1"/>
    <col min="782" max="782" width="12.42578125" style="297" customWidth="1"/>
    <col min="783" max="783" width="13.5703125" style="297" customWidth="1"/>
    <col min="784" max="784" width="2.5703125" style="297" customWidth="1"/>
    <col min="785" max="785" width="12.42578125" style="297" customWidth="1"/>
    <col min="786" max="786" width="13.5703125" style="297" customWidth="1"/>
    <col min="787" max="787" width="2.5703125" style="297" customWidth="1"/>
    <col min="788" max="788" width="11.5703125" style="297" customWidth="1"/>
    <col min="789" max="789" width="13" style="297" customWidth="1"/>
    <col min="790" max="790" width="1.42578125" style="297" customWidth="1"/>
    <col min="791" max="791" width="10.5703125" style="297" customWidth="1"/>
    <col min="792" max="1023" width="11" style="297"/>
    <col min="1024" max="1024" width="1.5703125" style="297" customWidth="1"/>
    <col min="1025" max="1025" width="8.5703125" style="297" customWidth="1"/>
    <col min="1026" max="1026" width="28.7109375" style="297" customWidth="1"/>
    <col min="1027" max="1027" width="26.5703125" style="297" customWidth="1"/>
    <col min="1028" max="1028" width="7.7109375" style="297" customWidth="1"/>
    <col min="1029" max="1029" width="19.42578125" style="297" customWidth="1"/>
    <col min="1030" max="1030" width="44.28515625" style="297" customWidth="1"/>
    <col min="1031" max="1031" width="17" style="297" customWidth="1"/>
    <col min="1032" max="1032" width="15.5703125" style="297" customWidth="1"/>
    <col min="1033" max="1033" width="14.140625" style="297" customWidth="1"/>
    <col min="1034" max="1034" width="1.7109375" style="297" customWidth="1"/>
    <col min="1035" max="1035" width="13.7109375" style="297" customWidth="1"/>
    <col min="1036" max="1036" width="13.85546875" style="297" bestFit="1" customWidth="1"/>
    <col min="1037" max="1037" width="2.5703125" style="297" customWidth="1"/>
    <col min="1038" max="1038" width="12.42578125" style="297" customWidth="1"/>
    <col min="1039" max="1039" width="13.5703125" style="297" customWidth="1"/>
    <col min="1040" max="1040" width="2.5703125" style="297" customWidth="1"/>
    <col min="1041" max="1041" width="12.42578125" style="297" customWidth="1"/>
    <col min="1042" max="1042" width="13.5703125" style="297" customWidth="1"/>
    <col min="1043" max="1043" width="2.5703125" style="297" customWidth="1"/>
    <col min="1044" max="1044" width="11.5703125" style="297" customWidth="1"/>
    <col min="1045" max="1045" width="13" style="297" customWidth="1"/>
    <col min="1046" max="1046" width="1.42578125" style="297" customWidth="1"/>
    <col min="1047" max="1047" width="10.5703125" style="297" customWidth="1"/>
    <col min="1048" max="1279" width="11" style="297"/>
    <col min="1280" max="1280" width="1.5703125" style="297" customWidth="1"/>
    <col min="1281" max="1281" width="8.5703125" style="297" customWidth="1"/>
    <col min="1282" max="1282" width="28.7109375" style="297" customWidth="1"/>
    <col min="1283" max="1283" width="26.5703125" style="297" customWidth="1"/>
    <col min="1284" max="1284" width="7.7109375" style="297" customWidth="1"/>
    <col min="1285" max="1285" width="19.42578125" style="297" customWidth="1"/>
    <col min="1286" max="1286" width="44.28515625" style="297" customWidth="1"/>
    <col min="1287" max="1287" width="17" style="297" customWidth="1"/>
    <col min="1288" max="1288" width="15.5703125" style="297" customWidth="1"/>
    <col min="1289" max="1289" width="14.140625" style="297" customWidth="1"/>
    <col min="1290" max="1290" width="1.7109375" style="297" customWidth="1"/>
    <col min="1291" max="1291" width="13.7109375" style="297" customWidth="1"/>
    <col min="1292" max="1292" width="13.85546875" style="297" bestFit="1" customWidth="1"/>
    <col min="1293" max="1293" width="2.5703125" style="297" customWidth="1"/>
    <col min="1294" max="1294" width="12.42578125" style="297" customWidth="1"/>
    <col min="1295" max="1295" width="13.5703125" style="297" customWidth="1"/>
    <col min="1296" max="1296" width="2.5703125" style="297" customWidth="1"/>
    <col min="1297" max="1297" width="12.42578125" style="297" customWidth="1"/>
    <col min="1298" max="1298" width="13.5703125" style="297" customWidth="1"/>
    <col min="1299" max="1299" width="2.5703125" style="297" customWidth="1"/>
    <col min="1300" max="1300" width="11.5703125" style="297" customWidth="1"/>
    <col min="1301" max="1301" width="13" style="297" customWidth="1"/>
    <col min="1302" max="1302" width="1.42578125" style="297" customWidth="1"/>
    <col min="1303" max="1303" width="10.5703125" style="297" customWidth="1"/>
    <col min="1304" max="1535" width="11" style="297"/>
    <col min="1536" max="1536" width="1.5703125" style="297" customWidth="1"/>
    <col min="1537" max="1537" width="8.5703125" style="297" customWidth="1"/>
    <col min="1538" max="1538" width="28.7109375" style="297" customWidth="1"/>
    <col min="1539" max="1539" width="26.5703125" style="297" customWidth="1"/>
    <col min="1540" max="1540" width="7.7109375" style="297" customWidth="1"/>
    <col min="1541" max="1541" width="19.42578125" style="297" customWidth="1"/>
    <col min="1542" max="1542" width="44.28515625" style="297" customWidth="1"/>
    <col min="1543" max="1543" width="17" style="297" customWidth="1"/>
    <col min="1544" max="1544" width="15.5703125" style="297" customWidth="1"/>
    <col min="1545" max="1545" width="14.140625" style="297" customWidth="1"/>
    <col min="1546" max="1546" width="1.7109375" style="297" customWidth="1"/>
    <col min="1547" max="1547" width="13.7109375" style="297" customWidth="1"/>
    <col min="1548" max="1548" width="13.85546875" style="297" bestFit="1" customWidth="1"/>
    <col min="1549" max="1549" width="2.5703125" style="297" customWidth="1"/>
    <col min="1550" max="1550" width="12.42578125" style="297" customWidth="1"/>
    <col min="1551" max="1551" width="13.5703125" style="297" customWidth="1"/>
    <col min="1552" max="1552" width="2.5703125" style="297" customWidth="1"/>
    <col min="1553" max="1553" width="12.42578125" style="297" customWidth="1"/>
    <col min="1554" max="1554" width="13.5703125" style="297" customWidth="1"/>
    <col min="1555" max="1555" width="2.5703125" style="297" customWidth="1"/>
    <col min="1556" max="1556" width="11.5703125" style="297" customWidth="1"/>
    <col min="1557" max="1557" width="13" style="297" customWidth="1"/>
    <col min="1558" max="1558" width="1.42578125" style="297" customWidth="1"/>
    <col min="1559" max="1559" width="10.5703125" style="297" customWidth="1"/>
    <col min="1560" max="1791" width="11" style="297"/>
    <col min="1792" max="1792" width="1.5703125" style="297" customWidth="1"/>
    <col min="1793" max="1793" width="8.5703125" style="297" customWidth="1"/>
    <col min="1794" max="1794" width="28.7109375" style="297" customWidth="1"/>
    <col min="1795" max="1795" width="26.5703125" style="297" customWidth="1"/>
    <col min="1796" max="1796" width="7.7109375" style="297" customWidth="1"/>
    <col min="1797" max="1797" width="19.42578125" style="297" customWidth="1"/>
    <col min="1798" max="1798" width="44.28515625" style="297" customWidth="1"/>
    <col min="1799" max="1799" width="17" style="297" customWidth="1"/>
    <col min="1800" max="1800" width="15.5703125" style="297" customWidth="1"/>
    <col min="1801" max="1801" width="14.140625" style="297" customWidth="1"/>
    <col min="1802" max="1802" width="1.7109375" style="297" customWidth="1"/>
    <col min="1803" max="1803" width="13.7109375" style="297" customWidth="1"/>
    <col min="1804" max="1804" width="13.85546875" style="297" bestFit="1" customWidth="1"/>
    <col min="1805" max="1805" width="2.5703125" style="297" customWidth="1"/>
    <col min="1806" max="1806" width="12.42578125" style="297" customWidth="1"/>
    <col min="1807" max="1807" width="13.5703125" style="297" customWidth="1"/>
    <col min="1808" max="1808" width="2.5703125" style="297" customWidth="1"/>
    <col min="1809" max="1809" width="12.42578125" style="297" customWidth="1"/>
    <col min="1810" max="1810" width="13.5703125" style="297" customWidth="1"/>
    <col min="1811" max="1811" width="2.5703125" style="297" customWidth="1"/>
    <col min="1812" max="1812" width="11.5703125" style="297" customWidth="1"/>
    <col min="1813" max="1813" width="13" style="297" customWidth="1"/>
    <col min="1814" max="1814" width="1.42578125" style="297" customWidth="1"/>
    <col min="1815" max="1815" width="10.5703125" style="297" customWidth="1"/>
    <col min="1816" max="2047" width="11" style="297"/>
    <col min="2048" max="2048" width="1.5703125" style="297" customWidth="1"/>
    <col min="2049" max="2049" width="8.5703125" style="297" customWidth="1"/>
    <col min="2050" max="2050" width="28.7109375" style="297" customWidth="1"/>
    <col min="2051" max="2051" width="26.5703125" style="297" customWidth="1"/>
    <col min="2052" max="2052" width="7.7109375" style="297" customWidth="1"/>
    <col min="2053" max="2053" width="19.42578125" style="297" customWidth="1"/>
    <col min="2054" max="2054" width="44.28515625" style="297" customWidth="1"/>
    <col min="2055" max="2055" width="17" style="297" customWidth="1"/>
    <col min="2056" max="2056" width="15.5703125" style="297" customWidth="1"/>
    <col min="2057" max="2057" width="14.140625" style="297" customWidth="1"/>
    <col min="2058" max="2058" width="1.7109375" style="297" customWidth="1"/>
    <col min="2059" max="2059" width="13.7109375" style="297" customWidth="1"/>
    <col min="2060" max="2060" width="13.85546875" style="297" bestFit="1" customWidth="1"/>
    <col min="2061" max="2061" width="2.5703125" style="297" customWidth="1"/>
    <col min="2062" max="2062" width="12.42578125" style="297" customWidth="1"/>
    <col min="2063" max="2063" width="13.5703125" style="297" customWidth="1"/>
    <col min="2064" max="2064" width="2.5703125" style="297" customWidth="1"/>
    <col min="2065" max="2065" width="12.42578125" style="297" customWidth="1"/>
    <col min="2066" max="2066" width="13.5703125" style="297" customWidth="1"/>
    <col min="2067" max="2067" width="2.5703125" style="297" customWidth="1"/>
    <col min="2068" max="2068" width="11.5703125" style="297" customWidth="1"/>
    <col min="2069" max="2069" width="13" style="297" customWidth="1"/>
    <col min="2070" max="2070" width="1.42578125" style="297" customWidth="1"/>
    <col min="2071" max="2071" width="10.5703125" style="297" customWidth="1"/>
    <col min="2072" max="2303" width="11" style="297"/>
    <col min="2304" max="2304" width="1.5703125" style="297" customWidth="1"/>
    <col min="2305" max="2305" width="8.5703125" style="297" customWidth="1"/>
    <col min="2306" max="2306" width="28.7109375" style="297" customWidth="1"/>
    <col min="2307" max="2307" width="26.5703125" style="297" customWidth="1"/>
    <col min="2308" max="2308" width="7.7109375" style="297" customWidth="1"/>
    <col min="2309" max="2309" width="19.42578125" style="297" customWidth="1"/>
    <col min="2310" max="2310" width="44.28515625" style="297" customWidth="1"/>
    <col min="2311" max="2311" width="17" style="297" customWidth="1"/>
    <col min="2312" max="2312" width="15.5703125" style="297" customWidth="1"/>
    <col min="2313" max="2313" width="14.140625" style="297" customWidth="1"/>
    <col min="2314" max="2314" width="1.7109375" style="297" customWidth="1"/>
    <col min="2315" max="2315" width="13.7109375" style="297" customWidth="1"/>
    <col min="2316" max="2316" width="13.85546875" style="297" bestFit="1" customWidth="1"/>
    <col min="2317" max="2317" width="2.5703125" style="297" customWidth="1"/>
    <col min="2318" max="2318" width="12.42578125" style="297" customWidth="1"/>
    <col min="2319" max="2319" width="13.5703125" style="297" customWidth="1"/>
    <col min="2320" max="2320" width="2.5703125" style="297" customWidth="1"/>
    <col min="2321" max="2321" width="12.42578125" style="297" customWidth="1"/>
    <col min="2322" max="2322" width="13.5703125" style="297" customWidth="1"/>
    <col min="2323" max="2323" width="2.5703125" style="297" customWidth="1"/>
    <col min="2324" max="2324" width="11.5703125" style="297" customWidth="1"/>
    <col min="2325" max="2325" width="13" style="297" customWidth="1"/>
    <col min="2326" max="2326" width="1.42578125" style="297" customWidth="1"/>
    <col min="2327" max="2327" width="10.5703125" style="297" customWidth="1"/>
    <col min="2328" max="2559" width="11" style="297"/>
    <col min="2560" max="2560" width="1.5703125" style="297" customWidth="1"/>
    <col min="2561" max="2561" width="8.5703125" style="297" customWidth="1"/>
    <col min="2562" max="2562" width="28.7109375" style="297" customWidth="1"/>
    <col min="2563" max="2563" width="26.5703125" style="297" customWidth="1"/>
    <col min="2564" max="2564" width="7.7109375" style="297" customWidth="1"/>
    <col min="2565" max="2565" width="19.42578125" style="297" customWidth="1"/>
    <col min="2566" max="2566" width="44.28515625" style="297" customWidth="1"/>
    <col min="2567" max="2567" width="17" style="297" customWidth="1"/>
    <col min="2568" max="2568" width="15.5703125" style="297" customWidth="1"/>
    <col min="2569" max="2569" width="14.140625" style="297" customWidth="1"/>
    <col min="2570" max="2570" width="1.7109375" style="297" customWidth="1"/>
    <col min="2571" max="2571" width="13.7109375" style="297" customWidth="1"/>
    <col min="2572" max="2572" width="13.85546875" style="297" bestFit="1" customWidth="1"/>
    <col min="2573" max="2573" width="2.5703125" style="297" customWidth="1"/>
    <col min="2574" max="2574" width="12.42578125" style="297" customWidth="1"/>
    <col min="2575" max="2575" width="13.5703125" style="297" customWidth="1"/>
    <col min="2576" max="2576" width="2.5703125" style="297" customWidth="1"/>
    <col min="2577" max="2577" width="12.42578125" style="297" customWidth="1"/>
    <col min="2578" max="2578" width="13.5703125" style="297" customWidth="1"/>
    <col min="2579" max="2579" width="2.5703125" style="297" customWidth="1"/>
    <col min="2580" max="2580" width="11.5703125" style="297" customWidth="1"/>
    <col min="2581" max="2581" width="13" style="297" customWidth="1"/>
    <col min="2582" max="2582" width="1.42578125" style="297" customWidth="1"/>
    <col min="2583" max="2583" width="10.5703125" style="297" customWidth="1"/>
    <col min="2584" max="2815" width="11" style="297"/>
    <col min="2816" max="2816" width="1.5703125" style="297" customWidth="1"/>
    <col min="2817" max="2817" width="8.5703125" style="297" customWidth="1"/>
    <col min="2818" max="2818" width="28.7109375" style="297" customWidth="1"/>
    <col min="2819" max="2819" width="26.5703125" style="297" customWidth="1"/>
    <col min="2820" max="2820" width="7.7109375" style="297" customWidth="1"/>
    <col min="2821" max="2821" width="19.42578125" style="297" customWidth="1"/>
    <col min="2822" max="2822" width="44.28515625" style="297" customWidth="1"/>
    <col min="2823" max="2823" width="17" style="297" customWidth="1"/>
    <col min="2824" max="2824" width="15.5703125" style="297" customWidth="1"/>
    <col min="2825" max="2825" width="14.140625" style="297" customWidth="1"/>
    <col min="2826" max="2826" width="1.7109375" style="297" customWidth="1"/>
    <col min="2827" max="2827" width="13.7109375" style="297" customWidth="1"/>
    <col min="2828" max="2828" width="13.85546875" style="297" bestFit="1" customWidth="1"/>
    <col min="2829" max="2829" width="2.5703125" style="297" customWidth="1"/>
    <col min="2830" max="2830" width="12.42578125" style="297" customWidth="1"/>
    <col min="2831" max="2831" width="13.5703125" style="297" customWidth="1"/>
    <col min="2832" max="2832" width="2.5703125" style="297" customWidth="1"/>
    <col min="2833" max="2833" width="12.42578125" style="297" customWidth="1"/>
    <col min="2834" max="2834" width="13.5703125" style="297" customWidth="1"/>
    <col min="2835" max="2835" width="2.5703125" style="297" customWidth="1"/>
    <col min="2836" max="2836" width="11.5703125" style="297" customWidth="1"/>
    <col min="2837" max="2837" width="13" style="297" customWidth="1"/>
    <col min="2838" max="2838" width="1.42578125" style="297" customWidth="1"/>
    <col min="2839" max="2839" width="10.5703125" style="297" customWidth="1"/>
    <col min="2840" max="3071" width="11" style="297"/>
    <col min="3072" max="3072" width="1.5703125" style="297" customWidth="1"/>
    <col min="3073" max="3073" width="8.5703125" style="297" customWidth="1"/>
    <col min="3074" max="3074" width="28.7109375" style="297" customWidth="1"/>
    <col min="3075" max="3075" width="26.5703125" style="297" customWidth="1"/>
    <col min="3076" max="3076" width="7.7109375" style="297" customWidth="1"/>
    <col min="3077" max="3077" width="19.42578125" style="297" customWidth="1"/>
    <col min="3078" max="3078" width="44.28515625" style="297" customWidth="1"/>
    <col min="3079" max="3079" width="17" style="297" customWidth="1"/>
    <col min="3080" max="3080" width="15.5703125" style="297" customWidth="1"/>
    <col min="3081" max="3081" width="14.140625" style="297" customWidth="1"/>
    <col min="3082" max="3082" width="1.7109375" style="297" customWidth="1"/>
    <col min="3083" max="3083" width="13.7109375" style="297" customWidth="1"/>
    <col min="3084" max="3084" width="13.85546875" style="297" bestFit="1" customWidth="1"/>
    <col min="3085" max="3085" width="2.5703125" style="297" customWidth="1"/>
    <col min="3086" max="3086" width="12.42578125" style="297" customWidth="1"/>
    <col min="3087" max="3087" width="13.5703125" style="297" customWidth="1"/>
    <col min="3088" max="3088" width="2.5703125" style="297" customWidth="1"/>
    <col min="3089" max="3089" width="12.42578125" style="297" customWidth="1"/>
    <col min="3090" max="3090" width="13.5703125" style="297" customWidth="1"/>
    <col min="3091" max="3091" width="2.5703125" style="297" customWidth="1"/>
    <col min="3092" max="3092" width="11.5703125" style="297" customWidth="1"/>
    <col min="3093" max="3093" width="13" style="297" customWidth="1"/>
    <col min="3094" max="3094" width="1.42578125" style="297" customWidth="1"/>
    <col min="3095" max="3095" width="10.5703125" style="297" customWidth="1"/>
    <col min="3096" max="3327" width="11" style="297"/>
    <col min="3328" max="3328" width="1.5703125" style="297" customWidth="1"/>
    <col min="3329" max="3329" width="8.5703125" style="297" customWidth="1"/>
    <col min="3330" max="3330" width="28.7109375" style="297" customWidth="1"/>
    <col min="3331" max="3331" width="26.5703125" style="297" customWidth="1"/>
    <col min="3332" max="3332" width="7.7109375" style="297" customWidth="1"/>
    <col min="3333" max="3333" width="19.42578125" style="297" customWidth="1"/>
    <col min="3334" max="3334" width="44.28515625" style="297" customWidth="1"/>
    <col min="3335" max="3335" width="17" style="297" customWidth="1"/>
    <col min="3336" max="3336" width="15.5703125" style="297" customWidth="1"/>
    <col min="3337" max="3337" width="14.140625" style="297" customWidth="1"/>
    <col min="3338" max="3338" width="1.7109375" style="297" customWidth="1"/>
    <col min="3339" max="3339" width="13.7109375" style="297" customWidth="1"/>
    <col min="3340" max="3340" width="13.85546875" style="297" bestFit="1" customWidth="1"/>
    <col min="3341" max="3341" width="2.5703125" style="297" customWidth="1"/>
    <col min="3342" max="3342" width="12.42578125" style="297" customWidth="1"/>
    <col min="3343" max="3343" width="13.5703125" style="297" customWidth="1"/>
    <col min="3344" max="3344" width="2.5703125" style="297" customWidth="1"/>
    <col min="3345" max="3345" width="12.42578125" style="297" customWidth="1"/>
    <col min="3346" max="3346" width="13.5703125" style="297" customWidth="1"/>
    <col min="3347" max="3347" width="2.5703125" style="297" customWidth="1"/>
    <col min="3348" max="3348" width="11.5703125" style="297" customWidth="1"/>
    <col min="3349" max="3349" width="13" style="297" customWidth="1"/>
    <col min="3350" max="3350" width="1.42578125" style="297" customWidth="1"/>
    <col min="3351" max="3351" width="10.5703125" style="297" customWidth="1"/>
    <col min="3352" max="3583" width="11" style="297"/>
    <col min="3584" max="3584" width="1.5703125" style="297" customWidth="1"/>
    <col min="3585" max="3585" width="8.5703125" style="297" customWidth="1"/>
    <col min="3586" max="3586" width="28.7109375" style="297" customWidth="1"/>
    <col min="3587" max="3587" width="26.5703125" style="297" customWidth="1"/>
    <col min="3588" max="3588" width="7.7109375" style="297" customWidth="1"/>
    <col min="3589" max="3589" width="19.42578125" style="297" customWidth="1"/>
    <col min="3590" max="3590" width="44.28515625" style="297" customWidth="1"/>
    <col min="3591" max="3591" width="17" style="297" customWidth="1"/>
    <col min="3592" max="3592" width="15.5703125" style="297" customWidth="1"/>
    <col min="3593" max="3593" width="14.140625" style="297" customWidth="1"/>
    <col min="3594" max="3594" width="1.7109375" style="297" customWidth="1"/>
    <col min="3595" max="3595" width="13.7109375" style="297" customWidth="1"/>
    <col min="3596" max="3596" width="13.85546875" style="297" bestFit="1" customWidth="1"/>
    <col min="3597" max="3597" width="2.5703125" style="297" customWidth="1"/>
    <col min="3598" max="3598" width="12.42578125" style="297" customWidth="1"/>
    <col min="3599" max="3599" width="13.5703125" style="297" customWidth="1"/>
    <col min="3600" max="3600" width="2.5703125" style="297" customWidth="1"/>
    <col min="3601" max="3601" width="12.42578125" style="297" customWidth="1"/>
    <col min="3602" max="3602" width="13.5703125" style="297" customWidth="1"/>
    <col min="3603" max="3603" width="2.5703125" style="297" customWidth="1"/>
    <col min="3604" max="3604" width="11.5703125" style="297" customWidth="1"/>
    <col min="3605" max="3605" width="13" style="297" customWidth="1"/>
    <col min="3606" max="3606" width="1.42578125" style="297" customWidth="1"/>
    <col min="3607" max="3607" width="10.5703125" style="297" customWidth="1"/>
    <col min="3608" max="3839" width="11" style="297"/>
    <col min="3840" max="3840" width="1.5703125" style="297" customWidth="1"/>
    <col min="3841" max="3841" width="8.5703125" style="297" customWidth="1"/>
    <col min="3842" max="3842" width="28.7109375" style="297" customWidth="1"/>
    <col min="3843" max="3843" width="26.5703125" style="297" customWidth="1"/>
    <col min="3844" max="3844" width="7.7109375" style="297" customWidth="1"/>
    <col min="3845" max="3845" width="19.42578125" style="297" customWidth="1"/>
    <col min="3846" max="3846" width="44.28515625" style="297" customWidth="1"/>
    <col min="3847" max="3847" width="17" style="297" customWidth="1"/>
    <col min="3848" max="3848" width="15.5703125" style="297" customWidth="1"/>
    <col min="3849" max="3849" width="14.140625" style="297" customWidth="1"/>
    <col min="3850" max="3850" width="1.7109375" style="297" customWidth="1"/>
    <col min="3851" max="3851" width="13.7109375" style="297" customWidth="1"/>
    <col min="3852" max="3852" width="13.85546875" style="297" bestFit="1" customWidth="1"/>
    <col min="3853" max="3853" width="2.5703125" style="297" customWidth="1"/>
    <col min="3854" max="3854" width="12.42578125" style="297" customWidth="1"/>
    <col min="3855" max="3855" width="13.5703125" style="297" customWidth="1"/>
    <col min="3856" max="3856" width="2.5703125" style="297" customWidth="1"/>
    <col min="3857" max="3857" width="12.42578125" style="297" customWidth="1"/>
    <col min="3858" max="3858" width="13.5703125" style="297" customWidth="1"/>
    <col min="3859" max="3859" width="2.5703125" style="297" customWidth="1"/>
    <col min="3860" max="3860" width="11.5703125" style="297" customWidth="1"/>
    <col min="3861" max="3861" width="13" style="297" customWidth="1"/>
    <col min="3862" max="3862" width="1.42578125" style="297" customWidth="1"/>
    <col min="3863" max="3863" width="10.5703125" style="297" customWidth="1"/>
    <col min="3864" max="4095" width="11" style="297"/>
    <col min="4096" max="4096" width="1.5703125" style="297" customWidth="1"/>
    <col min="4097" max="4097" width="8.5703125" style="297" customWidth="1"/>
    <col min="4098" max="4098" width="28.7109375" style="297" customWidth="1"/>
    <col min="4099" max="4099" width="26.5703125" style="297" customWidth="1"/>
    <col min="4100" max="4100" width="7.7109375" style="297" customWidth="1"/>
    <col min="4101" max="4101" width="19.42578125" style="297" customWidth="1"/>
    <col min="4102" max="4102" width="44.28515625" style="297" customWidth="1"/>
    <col min="4103" max="4103" width="17" style="297" customWidth="1"/>
    <col min="4104" max="4104" width="15.5703125" style="297" customWidth="1"/>
    <col min="4105" max="4105" width="14.140625" style="297" customWidth="1"/>
    <col min="4106" max="4106" width="1.7109375" style="297" customWidth="1"/>
    <col min="4107" max="4107" width="13.7109375" style="297" customWidth="1"/>
    <col min="4108" max="4108" width="13.85546875" style="297" bestFit="1" customWidth="1"/>
    <col min="4109" max="4109" width="2.5703125" style="297" customWidth="1"/>
    <col min="4110" max="4110" width="12.42578125" style="297" customWidth="1"/>
    <col min="4111" max="4111" width="13.5703125" style="297" customWidth="1"/>
    <col min="4112" max="4112" width="2.5703125" style="297" customWidth="1"/>
    <col min="4113" max="4113" width="12.42578125" style="297" customWidth="1"/>
    <col min="4114" max="4114" width="13.5703125" style="297" customWidth="1"/>
    <col min="4115" max="4115" width="2.5703125" style="297" customWidth="1"/>
    <col min="4116" max="4116" width="11.5703125" style="297" customWidth="1"/>
    <col min="4117" max="4117" width="13" style="297" customWidth="1"/>
    <col min="4118" max="4118" width="1.42578125" style="297" customWidth="1"/>
    <col min="4119" max="4119" width="10.5703125" style="297" customWidth="1"/>
    <col min="4120" max="4351" width="11" style="297"/>
    <col min="4352" max="4352" width="1.5703125" style="297" customWidth="1"/>
    <col min="4353" max="4353" width="8.5703125" style="297" customWidth="1"/>
    <col min="4354" max="4354" width="28.7109375" style="297" customWidth="1"/>
    <col min="4355" max="4355" width="26.5703125" style="297" customWidth="1"/>
    <col min="4356" max="4356" width="7.7109375" style="297" customWidth="1"/>
    <col min="4357" max="4357" width="19.42578125" style="297" customWidth="1"/>
    <col min="4358" max="4358" width="44.28515625" style="297" customWidth="1"/>
    <col min="4359" max="4359" width="17" style="297" customWidth="1"/>
    <col min="4360" max="4360" width="15.5703125" style="297" customWidth="1"/>
    <col min="4361" max="4361" width="14.140625" style="297" customWidth="1"/>
    <col min="4362" max="4362" width="1.7109375" style="297" customWidth="1"/>
    <col min="4363" max="4363" width="13.7109375" style="297" customWidth="1"/>
    <col min="4364" max="4364" width="13.85546875" style="297" bestFit="1" customWidth="1"/>
    <col min="4365" max="4365" width="2.5703125" style="297" customWidth="1"/>
    <col min="4366" max="4366" width="12.42578125" style="297" customWidth="1"/>
    <col min="4367" max="4367" width="13.5703125" style="297" customWidth="1"/>
    <col min="4368" max="4368" width="2.5703125" style="297" customWidth="1"/>
    <col min="4369" max="4369" width="12.42578125" style="297" customWidth="1"/>
    <col min="4370" max="4370" width="13.5703125" style="297" customWidth="1"/>
    <col min="4371" max="4371" width="2.5703125" style="297" customWidth="1"/>
    <col min="4372" max="4372" width="11.5703125" style="297" customWidth="1"/>
    <col min="4373" max="4373" width="13" style="297" customWidth="1"/>
    <col min="4374" max="4374" width="1.42578125" style="297" customWidth="1"/>
    <col min="4375" max="4375" width="10.5703125" style="297" customWidth="1"/>
    <col min="4376" max="4607" width="11" style="297"/>
    <col min="4608" max="4608" width="1.5703125" style="297" customWidth="1"/>
    <col min="4609" max="4609" width="8.5703125" style="297" customWidth="1"/>
    <col min="4610" max="4610" width="28.7109375" style="297" customWidth="1"/>
    <col min="4611" max="4611" width="26.5703125" style="297" customWidth="1"/>
    <col min="4612" max="4612" width="7.7109375" style="297" customWidth="1"/>
    <col min="4613" max="4613" width="19.42578125" style="297" customWidth="1"/>
    <col min="4614" max="4614" width="44.28515625" style="297" customWidth="1"/>
    <col min="4615" max="4615" width="17" style="297" customWidth="1"/>
    <col min="4616" max="4616" width="15.5703125" style="297" customWidth="1"/>
    <col min="4617" max="4617" width="14.140625" style="297" customWidth="1"/>
    <col min="4618" max="4618" width="1.7109375" style="297" customWidth="1"/>
    <col min="4619" max="4619" width="13.7109375" style="297" customWidth="1"/>
    <col min="4620" max="4620" width="13.85546875" style="297" bestFit="1" customWidth="1"/>
    <col min="4621" max="4621" width="2.5703125" style="297" customWidth="1"/>
    <col min="4622" max="4622" width="12.42578125" style="297" customWidth="1"/>
    <col min="4623" max="4623" width="13.5703125" style="297" customWidth="1"/>
    <col min="4624" max="4624" width="2.5703125" style="297" customWidth="1"/>
    <col min="4625" max="4625" width="12.42578125" style="297" customWidth="1"/>
    <col min="4626" max="4626" width="13.5703125" style="297" customWidth="1"/>
    <col min="4627" max="4627" width="2.5703125" style="297" customWidth="1"/>
    <col min="4628" max="4628" width="11.5703125" style="297" customWidth="1"/>
    <col min="4629" max="4629" width="13" style="297" customWidth="1"/>
    <col min="4630" max="4630" width="1.42578125" style="297" customWidth="1"/>
    <col min="4631" max="4631" width="10.5703125" style="297" customWidth="1"/>
    <col min="4632" max="4863" width="11" style="297"/>
    <col min="4864" max="4864" width="1.5703125" style="297" customWidth="1"/>
    <col min="4865" max="4865" width="8.5703125" style="297" customWidth="1"/>
    <col min="4866" max="4866" width="28.7109375" style="297" customWidth="1"/>
    <col min="4867" max="4867" width="26.5703125" style="297" customWidth="1"/>
    <col min="4868" max="4868" width="7.7109375" style="297" customWidth="1"/>
    <col min="4869" max="4869" width="19.42578125" style="297" customWidth="1"/>
    <col min="4870" max="4870" width="44.28515625" style="297" customWidth="1"/>
    <col min="4871" max="4871" width="17" style="297" customWidth="1"/>
    <col min="4872" max="4872" width="15.5703125" style="297" customWidth="1"/>
    <col min="4873" max="4873" width="14.140625" style="297" customWidth="1"/>
    <col min="4874" max="4874" width="1.7109375" style="297" customWidth="1"/>
    <col min="4875" max="4875" width="13.7109375" style="297" customWidth="1"/>
    <col min="4876" max="4876" width="13.85546875" style="297" bestFit="1" customWidth="1"/>
    <col min="4877" max="4877" width="2.5703125" style="297" customWidth="1"/>
    <col min="4878" max="4878" width="12.42578125" style="297" customWidth="1"/>
    <col min="4879" max="4879" width="13.5703125" style="297" customWidth="1"/>
    <col min="4880" max="4880" width="2.5703125" style="297" customWidth="1"/>
    <col min="4881" max="4881" width="12.42578125" style="297" customWidth="1"/>
    <col min="4882" max="4882" width="13.5703125" style="297" customWidth="1"/>
    <col min="4883" max="4883" width="2.5703125" style="297" customWidth="1"/>
    <col min="4884" max="4884" width="11.5703125" style="297" customWidth="1"/>
    <col min="4885" max="4885" width="13" style="297" customWidth="1"/>
    <col min="4886" max="4886" width="1.42578125" style="297" customWidth="1"/>
    <col min="4887" max="4887" width="10.5703125" style="297" customWidth="1"/>
    <col min="4888" max="5119" width="11" style="297"/>
    <col min="5120" max="5120" width="1.5703125" style="297" customWidth="1"/>
    <col min="5121" max="5121" width="8.5703125" style="297" customWidth="1"/>
    <col min="5122" max="5122" width="28.7109375" style="297" customWidth="1"/>
    <col min="5123" max="5123" width="26.5703125" style="297" customWidth="1"/>
    <col min="5124" max="5124" width="7.7109375" style="297" customWidth="1"/>
    <col min="5125" max="5125" width="19.42578125" style="297" customWidth="1"/>
    <col min="5126" max="5126" width="44.28515625" style="297" customWidth="1"/>
    <col min="5127" max="5127" width="17" style="297" customWidth="1"/>
    <col min="5128" max="5128" width="15.5703125" style="297" customWidth="1"/>
    <col min="5129" max="5129" width="14.140625" style="297" customWidth="1"/>
    <col min="5130" max="5130" width="1.7109375" style="297" customWidth="1"/>
    <col min="5131" max="5131" width="13.7109375" style="297" customWidth="1"/>
    <col min="5132" max="5132" width="13.85546875" style="297" bestFit="1" customWidth="1"/>
    <col min="5133" max="5133" width="2.5703125" style="297" customWidth="1"/>
    <col min="5134" max="5134" width="12.42578125" style="297" customWidth="1"/>
    <col min="5135" max="5135" width="13.5703125" style="297" customWidth="1"/>
    <col min="5136" max="5136" width="2.5703125" style="297" customWidth="1"/>
    <col min="5137" max="5137" width="12.42578125" style="297" customWidth="1"/>
    <col min="5138" max="5138" width="13.5703125" style="297" customWidth="1"/>
    <col min="5139" max="5139" width="2.5703125" style="297" customWidth="1"/>
    <col min="5140" max="5140" width="11.5703125" style="297" customWidth="1"/>
    <col min="5141" max="5141" width="13" style="297" customWidth="1"/>
    <col min="5142" max="5142" width="1.42578125" style="297" customWidth="1"/>
    <col min="5143" max="5143" width="10.5703125" style="297" customWidth="1"/>
    <col min="5144" max="5375" width="11" style="297"/>
    <col min="5376" max="5376" width="1.5703125" style="297" customWidth="1"/>
    <col min="5377" max="5377" width="8.5703125" style="297" customWidth="1"/>
    <col min="5378" max="5378" width="28.7109375" style="297" customWidth="1"/>
    <col min="5379" max="5379" width="26.5703125" style="297" customWidth="1"/>
    <col min="5380" max="5380" width="7.7109375" style="297" customWidth="1"/>
    <col min="5381" max="5381" width="19.42578125" style="297" customWidth="1"/>
    <col min="5382" max="5382" width="44.28515625" style="297" customWidth="1"/>
    <col min="5383" max="5383" width="17" style="297" customWidth="1"/>
    <col min="5384" max="5384" width="15.5703125" style="297" customWidth="1"/>
    <col min="5385" max="5385" width="14.140625" style="297" customWidth="1"/>
    <col min="5386" max="5386" width="1.7109375" style="297" customWidth="1"/>
    <col min="5387" max="5387" width="13.7109375" style="297" customWidth="1"/>
    <col min="5388" max="5388" width="13.85546875" style="297" bestFit="1" customWidth="1"/>
    <col min="5389" max="5389" width="2.5703125" style="297" customWidth="1"/>
    <col min="5390" max="5390" width="12.42578125" style="297" customWidth="1"/>
    <col min="5391" max="5391" width="13.5703125" style="297" customWidth="1"/>
    <col min="5392" max="5392" width="2.5703125" style="297" customWidth="1"/>
    <col min="5393" max="5393" width="12.42578125" style="297" customWidth="1"/>
    <col min="5394" max="5394" width="13.5703125" style="297" customWidth="1"/>
    <col min="5395" max="5395" width="2.5703125" style="297" customWidth="1"/>
    <col min="5396" max="5396" width="11.5703125" style="297" customWidth="1"/>
    <col min="5397" max="5397" width="13" style="297" customWidth="1"/>
    <col min="5398" max="5398" width="1.42578125" style="297" customWidth="1"/>
    <col min="5399" max="5399" width="10.5703125" style="297" customWidth="1"/>
    <col min="5400" max="5631" width="11" style="297"/>
    <col min="5632" max="5632" width="1.5703125" style="297" customWidth="1"/>
    <col min="5633" max="5633" width="8.5703125" style="297" customWidth="1"/>
    <col min="5634" max="5634" width="28.7109375" style="297" customWidth="1"/>
    <col min="5635" max="5635" width="26.5703125" style="297" customWidth="1"/>
    <col min="5636" max="5636" width="7.7109375" style="297" customWidth="1"/>
    <col min="5637" max="5637" width="19.42578125" style="297" customWidth="1"/>
    <col min="5638" max="5638" width="44.28515625" style="297" customWidth="1"/>
    <col min="5639" max="5639" width="17" style="297" customWidth="1"/>
    <col min="5640" max="5640" width="15.5703125" style="297" customWidth="1"/>
    <col min="5641" max="5641" width="14.140625" style="297" customWidth="1"/>
    <col min="5642" max="5642" width="1.7109375" style="297" customWidth="1"/>
    <col min="5643" max="5643" width="13.7109375" style="297" customWidth="1"/>
    <col min="5644" max="5644" width="13.85546875" style="297" bestFit="1" customWidth="1"/>
    <col min="5645" max="5645" width="2.5703125" style="297" customWidth="1"/>
    <col min="5646" max="5646" width="12.42578125" style="297" customWidth="1"/>
    <col min="5647" max="5647" width="13.5703125" style="297" customWidth="1"/>
    <col min="5648" max="5648" width="2.5703125" style="297" customWidth="1"/>
    <col min="5649" max="5649" width="12.42578125" style="297" customWidth="1"/>
    <col min="5650" max="5650" width="13.5703125" style="297" customWidth="1"/>
    <col min="5651" max="5651" width="2.5703125" style="297" customWidth="1"/>
    <col min="5652" max="5652" width="11.5703125" style="297" customWidth="1"/>
    <col min="5653" max="5653" width="13" style="297" customWidth="1"/>
    <col min="5654" max="5654" width="1.42578125" style="297" customWidth="1"/>
    <col min="5655" max="5655" width="10.5703125" style="297" customWidth="1"/>
    <col min="5656" max="5887" width="11" style="297"/>
    <col min="5888" max="5888" width="1.5703125" style="297" customWidth="1"/>
    <col min="5889" max="5889" width="8.5703125" style="297" customWidth="1"/>
    <col min="5890" max="5890" width="28.7109375" style="297" customWidth="1"/>
    <col min="5891" max="5891" width="26.5703125" style="297" customWidth="1"/>
    <col min="5892" max="5892" width="7.7109375" style="297" customWidth="1"/>
    <col min="5893" max="5893" width="19.42578125" style="297" customWidth="1"/>
    <col min="5894" max="5894" width="44.28515625" style="297" customWidth="1"/>
    <col min="5895" max="5895" width="17" style="297" customWidth="1"/>
    <col min="5896" max="5896" width="15.5703125" style="297" customWidth="1"/>
    <col min="5897" max="5897" width="14.140625" style="297" customWidth="1"/>
    <col min="5898" max="5898" width="1.7109375" style="297" customWidth="1"/>
    <col min="5899" max="5899" width="13.7109375" style="297" customWidth="1"/>
    <col min="5900" max="5900" width="13.85546875" style="297" bestFit="1" customWidth="1"/>
    <col min="5901" max="5901" width="2.5703125" style="297" customWidth="1"/>
    <col min="5902" max="5902" width="12.42578125" style="297" customWidth="1"/>
    <col min="5903" max="5903" width="13.5703125" style="297" customWidth="1"/>
    <col min="5904" max="5904" width="2.5703125" style="297" customWidth="1"/>
    <col min="5905" max="5905" width="12.42578125" style="297" customWidth="1"/>
    <col min="5906" max="5906" width="13.5703125" style="297" customWidth="1"/>
    <col min="5907" max="5907" width="2.5703125" style="297" customWidth="1"/>
    <col min="5908" max="5908" width="11.5703125" style="297" customWidth="1"/>
    <col min="5909" max="5909" width="13" style="297" customWidth="1"/>
    <col min="5910" max="5910" width="1.42578125" style="297" customWidth="1"/>
    <col min="5911" max="5911" width="10.5703125" style="297" customWidth="1"/>
    <col min="5912" max="6143" width="11" style="297"/>
    <col min="6144" max="6144" width="1.5703125" style="297" customWidth="1"/>
    <col min="6145" max="6145" width="8.5703125" style="297" customWidth="1"/>
    <col min="6146" max="6146" width="28.7109375" style="297" customWidth="1"/>
    <col min="6147" max="6147" width="26.5703125" style="297" customWidth="1"/>
    <col min="6148" max="6148" width="7.7109375" style="297" customWidth="1"/>
    <col min="6149" max="6149" width="19.42578125" style="297" customWidth="1"/>
    <col min="6150" max="6150" width="44.28515625" style="297" customWidth="1"/>
    <col min="6151" max="6151" width="17" style="297" customWidth="1"/>
    <col min="6152" max="6152" width="15.5703125" style="297" customWidth="1"/>
    <col min="6153" max="6153" width="14.140625" style="297" customWidth="1"/>
    <col min="6154" max="6154" width="1.7109375" style="297" customWidth="1"/>
    <col min="6155" max="6155" width="13.7109375" style="297" customWidth="1"/>
    <col min="6156" max="6156" width="13.85546875" style="297" bestFit="1" customWidth="1"/>
    <col min="6157" max="6157" width="2.5703125" style="297" customWidth="1"/>
    <col min="6158" max="6158" width="12.42578125" style="297" customWidth="1"/>
    <col min="6159" max="6159" width="13.5703125" style="297" customWidth="1"/>
    <col min="6160" max="6160" width="2.5703125" style="297" customWidth="1"/>
    <col min="6161" max="6161" width="12.42578125" style="297" customWidth="1"/>
    <col min="6162" max="6162" width="13.5703125" style="297" customWidth="1"/>
    <col min="6163" max="6163" width="2.5703125" style="297" customWidth="1"/>
    <col min="6164" max="6164" width="11.5703125" style="297" customWidth="1"/>
    <col min="6165" max="6165" width="13" style="297" customWidth="1"/>
    <col min="6166" max="6166" width="1.42578125" style="297" customWidth="1"/>
    <col min="6167" max="6167" width="10.5703125" style="297" customWidth="1"/>
    <col min="6168" max="6399" width="11" style="297"/>
    <col min="6400" max="6400" width="1.5703125" style="297" customWidth="1"/>
    <col min="6401" max="6401" width="8.5703125" style="297" customWidth="1"/>
    <col min="6402" max="6402" width="28.7109375" style="297" customWidth="1"/>
    <col min="6403" max="6403" width="26.5703125" style="297" customWidth="1"/>
    <col min="6404" max="6404" width="7.7109375" style="297" customWidth="1"/>
    <col min="6405" max="6405" width="19.42578125" style="297" customWidth="1"/>
    <col min="6406" max="6406" width="44.28515625" style="297" customWidth="1"/>
    <col min="6407" max="6407" width="17" style="297" customWidth="1"/>
    <col min="6408" max="6408" width="15.5703125" style="297" customWidth="1"/>
    <col min="6409" max="6409" width="14.140625" style="297" customWidth="1"/>
    <col min="6410" max="6410" width="1.7109375" style="297" customWidth="1"/>
    <col min="6411" max="6411" width="13.7109375" style="297" customWidth="1"/>
    <col min="6412" max="6412" width="13.85546875" style="297" bestFit="1" customWidth="1"/>
    <col min="6413" max="6413" width="2.5703125" style="297" customWidth="1"/>
    <col min="6414" max="6414" width="12.42578125" style="297" customWidth="1"/>
    <col min="6415" max="6415" width="13.5703125" style="297" customWidth="1"/>
    <col min="6416" max="6416" width="2.5703125" style="297" customWidth="1"/>
    <col min="6417" max="6417" width="12.42578125" style="297" customWidth="1"/>
    <col min="6418" max="6418" width="13.5703125" style="297" customWidth="1"/>
    <col min="6419" max="6419" width="2.5703125" style="297" customWidth="1"/>
    <col min="6420" max="6420" width="11.5703125" style="297" customWidth="1"/>
    <col min="6421" max="6421" width="13" style="297" customWidth="1"/>
    <col min="6422" max="6422" width="1.42578125" style="297" customWidth="1"/>
    <col min="6423" max="6423" width="10.5703125" style="297" customWidth="1"/>
    <col min="6424" max="6655" width="11" style="297"/>
    <col min="6656" max="6656" width="1.5703125" style="297" customWidth="1"/>
    <col min="6657" max="6657" width="8.5703125" style="297" customWidth="1"/>
    <col min="6658" max="6658" width="28.7109375" style="297" customWidth="1"/>
    <col min="6659" max="6659" width="26.5703125" style="297" customWidth="1"/>
    <col min="6660" max="6660" width="7.7109375" style="297" customWidth="1"/>
    <col min="6661" max="6661" width="19.42578125" style="297" customWidth="1"/>
    <col min="6662" max="6662" width="44.28515625" style="297" customWidth="1"/>
    <col min="6663" max="6663" width="17" style="297" customWidth="1"/>
    <col min="6664" max="6664" width="15.5703125" style="297" customWidth="1"/>
    <col min="6665" max="6665" width="14.140625" style="297" customWidth="1"/>
    <col min="6666" max="6666" width="1.7109375" style="297" customWidth="1"/>
    <col min="6667" max="6667" width="13.7109375" style="297" customWidth="1"/>
    <col min="6668" max="6668" width="13.85546875" style="297" bestFit="1" customWidth="1"/>
    <col min="6669" max="6669" width="2.5703125" style="297" customWidth="1"/>
    <col min="6670" max="6670" width="12.42578125" style="297" customWidth="1"/>
    <col min="6671" max="6671" width="13.5703125" style="297" customWidth="1"/>
    <col min="6672" max="6672" width="2.5703125" style="297" customWidth="1"/>
    <col min="6673" max="6673" width="12.42578125" style="297" customWidth="1"/>
    <col min="6674" max="6674" width="13.5703125" style="297" customWidth="1"/>
    <col min="6675" max="6675" width="2.5703125" style="297" customWidth="1"/>
    <col min="6676" max="6676" width="11.5703125" style="297" customWidth="1"/>
    <col min="6677" max="6677" width="13" style="297" customWidth="1"/>
    <col min="6678" max="6678" width="1.42578125" style="297" customWidth="1"/>
    <col min="6679" max="6679" width="10.5703125" style="297" customWidth="1"/>
    <col min="6680" max="6911" width="11" style="297"/>
    <col min="6912" max="6912" width="1.5703125" style="297" customWidth="1"/>
    <col min="6913" max="6913" width="8.5703125" style="297" customWidth="1"/>
    <col min="6914" max="6914" width="28.7109375" style="297" customWidth="1"/>
    <col min="6915" max="6915" width="26.5703125" style="297" customWidth="1"/>
    <col min="6916" max="6916" width="7.7109375" style="297" customWidth="1"/>
    <col min="6917" max="6917" width="19.42578125" style="297" customWidth="1"/>
    <col min="6918" max="6918" width="44.28515625" style="297" customWidth="1"/>
    <col min="6919" max="6919" width="17" style="297" customWidth="1"/>
    <col min="6920" max="6920" width="15.5703125" style="297" customWidth="1"/>
    <col min="6921" max="6921" width="14.140625" style="297" customWidth="1"/>
    <col min="6922" max="6922" width="1.7109375" style="297" customWidth="1"/>
    <col min="6923" max="6923" width="13.7109375" style="297" customWidth="1"/>
    <col min="6924" max="6924" width="13.85546875" style="297" bestFit="1" customWidth="1"/>
    <col min="6925" max="6925" width="2.5703125" style="297" customWidth="1"/>
    <col min="6926" max="6926" width="12.42578125" style="297" customWidth="1"/>
    <col min="6927" max="6927" width="13.5703125" style="297" customWidth="1"/>
    <col min="6928" max="6928" width="2.5703125" style="297" customWidth="1"/>
    <col min="6929" max="6929" width="12.42578125" style="297" customWidth="1"/>
    <col min="6930" max="6930" width="13.5703125" style="297" customWidth="1"/>
    <col min="6931" max="6931" width="2.5703125" style="297" customWidth="1"/>
    <col min="6932" max="6932" width="11.5703125" style="297" customWidth="1"/>
    <col min="6933" max="6933" width="13" style="297" customWidth="1"/>
    <col min="6934" max="6934" width="1.42578125" style="297" customWidth="1"/>
    <col min="6935" max="6935" width="10.5703125" style="297" customWidth="1"/>
    <col min="6936" max="7167" width="11" style="297"/>
    <col min="7168" max="7168" width="1.5703125" style="297" customWidth="1"/>
    <col min="7169" max="7169" width="8.5703125" style="297" customWidth="1"/>
    <col min="7170" max="7170" width="28.7109375" style="297" customWidth="1"/>
    <col min="7171" max="7171" width="26.5703125" style="297" customWidth="1"/>
    <col min="7172" max="7172" width="7.7109375" style="297" customWidth="1"/>
    <col min="7173" max="7173" width="19.42578125" style="297" customWidth="1"/>
    <col min="7174" max="7174" width="44.28515625" style="297" customWidth="1"/>
    <col min="7175" max="7175" width="17" style="297" customWidth="1"/>
    <col min="7176" max="7176" width="15.5703125" style="297" customWidth="1"/>
    <col min="7177" max="7177" width="14.140625" style="297" customWidth="1"/>
    <col min="7178" max="7178" width="1.7109375" style="297" customWidth="1"/>
    <col min="7179" max="7179" width="13.7109375" style="297" customWidth="1"/>
    <col min="7180" max="7180" width="13.85546875" style="297" bestFit="1" customWidth="1"/>
    <col min="7181" max="7181" width="2.5703125" style="297" customWidth="1"/>
    <col min="7182" max="7182" width="12.42578125" style="297" customWidth="1"/>
    <col min="7183" max="7183" width="13.5703125" style="297" customWidth="1"/>
    <col min="7184" max="7184" width="2.5703125" style="297" customWidth="1"/>
    <col min="7185" max="7185" width="12.42578125" style="297" customWidth="1"/>
    <col min="7186" max="7186" width="13.5703125" style="297" customWidth="1"/>
    <col min="7187" max="7187" width="2.5703125" style="297" customWidth="1"/>
    <col min="7188" max="7188" width="11.5703125" style="297" customWidth="1"/>
    <col min="7189" max="7189" width="13" style="297" customWidth="1"/>
    <col min="7190" max="7190" width="1.42578125" style="297" customWidth="1"/>
    <col min="7191" max="7191" width="10.5703125" style="297" customWidth="1"/>
    <col min="7192" max="7423" width="11" style="297"/>
    <col min="7424" max="7424" width="1.5703125" style="297" customWidth="1"/>
    <col min="7425" max="7425" width="8.5703125" style="297" customWidth="1"/>
    <col min="7426" max="7426" width="28.7109375" style="297" customWidth="1"/>
    <col min="7427" max="7427" width="26.5703125" style="297" customWidth="1"/>
    <col min="7428" max="7428" width="7.7109375" style="297" customWidth="1"/>
    <col min="7429" max="7429" width="19.42578125" style="297" customWidth="1"/>
    <col min="7430" max="7430" width="44.28515625" style="297" customWidth="1"/>
    <col min="7431" max="7431" width="17" style="297" customWidth="1"/>
    <col min="7432" max="7432" width="15.5703125" style="297" customWidth="1"/>
    <col min="7433" max="7433" width="14.140625" style="297" customWidth="1"/>
    <col min="7434" max="7434" width="1.7109375" style="297" customWidth="1"/>
    <col min="7435" max="7435" width="13.7109375" style="297" customWidth="1"/>
    <col min="7436" max="7436" width="13.85546875" style="297" bestFit="1" customWidth="1"/>
    <col min="7437" max="7437" width="2.5703125" style="297" customWidth="1"/>
    <col min="7438" max="7438" width="12.42578125" style="297" customWidth="1"/>
    <col min="7439" max="7439" width="13.5703125" style="297" customWidth="1"/>
    <col min="7440" max="7440" width="2.5703125" style="297" customWidth="1"/>
    <col min="7441" max="7441" width="12.42578125" style="297" customWidth="1"/>
    <col min="7442" max="7442" width="13.5703125" style="297" customWidth="1"/>
    <col min="7443" max="7443" width="2.5703125" style="297" customWidth="1"/>
    <col min="7444" max="7444" width="11.5703125" style="297" customWidth="1"/>
    <col min="7445" max="7445" width="13" style="297" customWidth="1"/>
    <col min="7446" max="7446" width="1.42578125" style="297" customWidth="1"/>
    <col min="7447" max="7447" width="10.5703125" style="297" customWidth="1"/>
    <col min="7448" max="7679" width="11" style="297"/>
    <col min="7680" max="7680" width="1.5703125" style="297" customWidth="1"/>
    <col min="7681" max="7681" width="8.5703125" style="297" customWidth="1"/>
    <col min="7682" max="7682" width="28.7109375" style="297" customWidth="1"/>
    <col min="7683" max="7683" width="26.5703125" style="297" customWidth="1"/>
    <col min="7684" max="7684" width="7.7109375" style="297" customWidth="1"/>
    <col min="7685" max="7685" width="19.42578125" style="297" customWidth="1"/>
    <col min="7686" max="7686" width="44.28515625" style="297" customWidth="1"/>
    <col min="7687" max="7687" width="17" style="297" customWidth="1"/>
    <col min="7688" max="7688" width="15.5703125" style="297" customWidth="1"/>
    <col min="7689" max="7689" width="14.140625" style="297" customWidth="1"/>
    <col min="7690" max="7690" width="1.7109375" style="297" customWidth="1"/>
    <col min="7691" max="7691" width="13.7109375" style="297" customWidth="1"/>
    <col min="7692" max="7692" width="13.85546875" style="297" bestFit="1" customWidth="1"/>
    <col min="7693" max="7693" width="2.5703125" style="297" customWidth="1"/>
    <col min="7694" max="7694" width="12.42578125" style="297" customWidth="1"/>
    <col min="7695" max="7695" width="13.5703125" style="297" customWidth="1"/>
    <col min="7696" max="7696" width="2.5703125" style="297" customWidth="1"/>
    <col min="7697" max="7697" width="12.42578125" style="297" customWidth="1"/>
    <col min="7698" max="7698" width="13.5703125" style="297" customWidth="1"/>
    <col min="7699" max="7699" width="2.5703125" style="297" customWidth="1"/>
    <col min="7700" max="7700" width="11.5703125" style="297" customWidth="1"/>
    <col min="7701" max="7701" width="13" style="297" customWidth="1"/>
    <col min="7702" max="7702" width="1.42578125" style="297" customWidth="1"/>
    <col min="7703" max="7703" width="10.5703125" style="297" customWidth="1"/>
    <col min="7704" max="7935" width="11" style="297"/>
    <col min="7936" max="7936" width="1.5703125" style="297" customWidth="1"/>
    <col min="7937" max="7937" width="8.5703125" style="297" customWidth="1"/>
    <col min="7938" max="7938" width="28.7109375" style="297" customWidth="1"/>
    <col min="7939" max="7939" width="26.5703125" style="297" customWidth="1"/>
    <col min="7940" max="7940" width="7.7109375" style="297" customWidth="1"/>
    <col min="7941" max="7941" width="19.42578125" style="297" customWidth="1"/>
    <col min="7942" max="7942" width="44.28515625" style="297" customWidth="1"/>
    <col min="7943" max="7943" width="17" style="297" customWidth="1"/>
    <col min="7944" max="7944" width="15.5703125" style="297" customWidth="1"/>
    <col min="7945" max="7945" width="14.140625" style="297" customWidth="1"/>
    <col min="7946" max="7946" width="1.7109375" style="297" customWidth="1"/>
    <col min="7947" max="7947" width="13.7109375" style="297" customWidth="1"/>
    <col min="7948" max="7948" width="13.85546875" style="297" bestFit="1" customWidth="1"/>
    <col min="7949" max="7949" width="2.5703125" style="297" customWidth="1"/>
    <col min="7950" max="7950" width="12.42578125" style="297" customWidth="1"/>
    <col min="7951" max="7951" width="13.5703125" style="297" customWidth="1"/>
    <col min="7952" max="7952" width="2.5703125" style="297" customWidth="1"/>
    <col min="7953" max="7953" width="12.42578125" style="297" customWidth="1"/>
    <col min="7954" max="7954" width="13.5703125" style="297" customWidth="1"/>
    <col min="7955" max="7955" width="2.5703125" style="297" customWidth="1"/>
    <col min="7956" max="7956" width="11.5703125" style="297" customWidth="1"/>
    <col min="7957" max="7957" width="13" style="297" customWidth="1"/>
    <col min="7958" max="7958" width="1.42578125" style="297" customWidth="1"/>
    <col min="7959" max="7959" width="10.5703125" style="297" customWidth="1"/>
    <col min="7960" max="8191" width="11" style="297"/>
    <col min="8192" max="8192" width="1.5703125" style="297" customWidth="1"/>
    <col min="8193" max="8193" width="8.5703125" style="297" customWidth="1"/>
    <col min="8194" max="8194" width="28.7109375" style="297" customWidth="1"/>
    <col min="8195" max="8195" width="26.5703125" style="297" customWidth="1"/>
    <col min="8196" max="8196" width="7.7109375" style="297" customWidth="1"/>
    <col min="8197" max="8197" width="19.42578125" style="297" customWidth="1"/>
    <col min="8198" max="8198" width="44.28515625" style="297" customWidth="1"/>
    <col min="8199" max="8199" width="17" style="297" customWidth="1"/>
    <col min="8200" max="8200" width="15.5703125" style="297" customWidth="1"/>
    <col min="8201" max="8201" width="14.140625" style="297" customWidth="1"/>
    <col min="8202" max="8202" width="1.7109375" style="297" customWidth="1"/>
    <col min="8203" max="8203" width="13.7109375" style="297" customWidth="1"/>
    <col min="8204" max="8204" width="13.85546875" style="297" bestFit="1" customWidth="1"/>
    <col min="8205" max="8205" width="2.5703125" style="297" customWidth="1"/>
    <col min="8206" max="8206" width="12.42578125" style="297" customWidth="1"/>
    <col min="8207" max="8207" width="13.5703125" style="297" customWidth="1"/>
    <col min="8208" max="8208" width="2.5703125" style="297" customWidth="1"/>
    <col min="8209" max="8209" width="12.42578125" style="297" customWidth="1"/>
    <col min="8210" max="8210" width="13.5703125" style="297" customWidth="1"/>
    <col min="8211" max="8211" width="2.5703125" style="297" customWidth="1"/>
    <col min="8212" max="8212" width="11.5703125" style="297" customWidth="1"/>
    <col min="8213" max="8213" width="13" style="297" customWidth="1"/>
    <col min="8214" max="8214" width="1.42578125" style="297" customWidth="1"/>
    <col min="8215" max="8215" width="10.5703125" style="297" customWidth="1"/>
    <col min="8216" max="8447" width="11" style="297"/>
    <col min="8448" max="8448" width="1.5703125" style="297" customWidth="1"/>
    <col min="8449" max="8449" width="8.5703125" style="297" customWidth="1"/>
    <col min="8450" max="8450" width="28.7109375" style="297" customWidth="1"/>
    <col min="8451" max="8451" width="26.5703125" style="297" customWidth="1"/>
    <col min="8452" max="8452" width="7.7109375" style="297" customWidth="1"/>
    <col min="8453" max="8453" width="19.42578125" style="297" customWidth="1"/>
    <col min="8454" max="8454" width="44.28515625" style="297" customWidth="1"/>
    <col min="8455" max="8455" width="17" style="297" customWidth="1"/>
    <col min="8456" max="8456" width="15.5703125" style="297" customWidth="1"/>
    <col min="8457" max="8457" width="14.140625" style="297" customWidth="1"/>
    <col min="8458" max="8458" width="1.7109375" style="297" customWidth="1"/>
    <col min="8459" max="8459" width="13.7109375" style="297" customWidth="1"/>
    <col min="8460" max="8460" width="13.85546875" style="297" bestFit="1" customWidth="1"/>
    <col min="8461" max="8461" width="2.5703125" style="297" customWidth="1"/>
    <col min="8462" max="8462" width="12.42578125" style="297" customWidth="1"/>
    <col min="8463" max="8463" width="13.5703125" style="297" customWidth="1"/>
    <col min="8464" max="8464" width="2.5703125" style="297" customWidth="1"/>
    <col min="8465" max="8465" width="12.42578125" style="297" customWidth="1"/>
    <col min="8466" max="8466" width="13.5703125" style="297" customWidth="1"/>
    <col min="8467" max="8467" width="2.5703125" style="297" customWidth="1"/>
    <col min="8468" max="8468" width="11.5703125" style="297" customWidth="1"/>
    <col min="8469" max="8469" width="13" style="297" customWidth="1"/>
    <col min="8470" max="8470" width="1.42578125" style="297" customWidth="1"/>
    <col min="8471" max="8471" width="10.5703125" style="297" customWidth="1"/>
    <col min="8472" max="8703" width="11" style="297"/>
    <col min="8704" max="8704" width="1.5703125" style="297" customWidth="1"/>
    <col min="8705" max="8705" width="8.5703125" style="297" customWidth="1"/>
    <col min="8706" max="8706" width="28.7109375" style="297" customWidth="1"/>
    <col min="8707" max="8707" width="26.5703125" style="297" customWidth="1"/>
    <col min="8708" max="8708" width="7.7109375" style="297" customWidth="1"/>
    <col min="8709" max="8709" width="19.42578125" style="297" customWidth="1"/>
    <col min="8710" max="8710" width="44.28515625" style="297" customWidth="1"/>
    <col min="8711" max="8711" width="17" style="297" customWidth="1"/>
    <col min="8712" max="8712" width="15.5703125" style="297" customWidth="1"/>
    <col min="8713" max="8713" width="14.140625" style="297" customWidth="1"/>
    <col min="8714" max="8714" width="1.7109375" style="297" customWidth="1"/>
    <col min="8715" max="8715" width="13.7109375" style="297" customWidth="1"/>
    <col min="8716" max="8716" width="13.85546875" style="297" bestFit="1" customWidth="1"/>
    <col min="8717" max="8717" width="2.5703125" style="297" customWidth="1"/>
    <col min="8718" max="8718" width="12.42578125" style="297" customWidth="1"/>
    <col min="8719" max="8719" width="13.5703125" style="297" customWidth="1"/>
    <col min="8720" max="8720" width="2.5703125" style="297" customWidth="1"/>
    <col min="8721" max="8721" width="12.42578125" style="297" customWidth="1"/>
    <col min="8722" max="8722" width="13.5703125" style="297" customWidth="1"/>
    <col min="8723" max="8723" width="2.5703125" style="297" customWidth="1"/>
    <col min="8724" max="8724" width="11.5703125" style="297" customWidth="1"/>
    <col min="8725" max="8725" width="13" style="297" customWidth="1"/>
    <col min="8726" max="8726" width="1.42578125" style="297" customWidth="1"/>
    <col min="8727" max="8727" width="10.5703125" style="297" customWidth="1"/>
    <col min="8728" max="8959" width="11" style="297"/>
    <col min="8960" max="8960" width="1.5703125" style="297" customWidth="1"/>
    <col min="8961" max="8961" width="8.5703125" style="297" customWidth="1"/>
    <col min="8962" max="8962" width="28.7109375" style="297" customWidth="1"/>
    <col min="8963" max="8963" width="26.5703125" style="297" customWidth="1"/>
    <col min="8964" max="8964" width="7.7109375" style="297" customWidth="1"/>
    <col min="8965" max="8965" width="19.42578125" style="297" customWidth="1"/>
    <col min="8966" max="8966" width="44.28515625" style="297" customWidth="1"/>
    <col min="8967" max="8967" width="17" style="297" customWidth="1"/>
    <col min="8968" max="8968" width="15.5703125" style="297" customWidth="1"/>
    <col min="8969" max="8969" width="14.140625" style="297" customWidth="1"/>
    <col min="8970" max="8970" width="1.7109375" style="297" customWidth="1"/>
    <col min="8971" max="8971" width="13.7109375" style="297" customWidth="1"/>
    <col min="8972" max="8972" width="13.85546875" style="297" bestFit="1" customWidth="1"/>
    <col min="8973" max="8973" width="2.5703125" style="297" customWidth="1"/>
    <col min="8974" max="8974" width="12.42578125" style="297" customWidth="1"/>
    <col min="8975" max="8975" width="13.5703125" style="297" customWidth="1"/>
    <col min="8976" max="8976" width="2.5703125" style="297" customWidth="1"/>
    <col min="8977" max="8977" width="12.42578125" style="297" customWidth="1"/>
    <col min="8978" max="8978" width="13.5703125" style="297" customWidth="1"/>
    <col min="8979" max="8979" width="2.5703125" style="297" customWidth="1"/>
    <col min="8980" max="8980" width="11.5703125" style="297" customWidth="1"/>
    <col min="8981" max="8981" width="13" style="297" customWidth="1"/>
    <col min="8982" max="8982" width="1.42578125" style="297" customWidth="1"/>
    <col min="8983" max="8983" width="10.5703125" style="297" customWidth="1"/>
    <col min="8984" max="9215" width="11" style="297"/>
    <col min="9216" max="9216" width="1.5703125" style="297" customWidth="1"/>
    <col min="9217" max="9217" width="8.5703125" style="297" customWidth="1"/>
    <col min="9218" max="9218" width="28.7109375" style="297" customWidth="1"/>
    <col min="9219" max="9219" width="26.5703125" style="297" customWidth="1"/>
    <col min="9220" max="9220" width="7.7109375" style="297" customWidth="1"/>
    <col min="9221" max="9221" width="19.42578125" style="297" customWidth="1"/>
    <col min="9222" max="9222" width="44.28515625" style="297" customWidth="1"/>
    <col min="9223" max="9223" width="17" style="297" customWidth="1"/>
    <col min="9224" max="9224" width="15.5703125" style="297" customWidth="1"/>
    <col min="9225" max="9225" width="14.140625" style="297" customWidth="1"/>
    <col min="9226" max="9226" width="1.7109375" style="297" customWidth="1"/>
    <col min="9227" max="9227" width="13.7109375" style="297" customWidth="1"/>
    <col min="9228" max="9228" width="13.85546875" style="297" bestFit="1" customWidth="1"/>
    <col min="9229" max="9229" width="2.5703125" style="297" customWidth="1"/>
    <col min="9230" max="9230" width="12.42578125" style="297" customWidth="1"/>
    <col min="9231" max="9231" width="13.5703125" style="297" customWidth="1"/>
    <col min="9232" max="9232" width="2.5703125" style="297" customWidth="1"/>
    <col min="9233" max="9233" width="12.42578125" style="297" customWidth="1"/>
    <col min="9234" max="9234" width="13.5703125" style="297" customWidth="1"/>
    <col min="9235" max="9235" width="2.5703125" style="297" customWidth="1"/>
    <col min="9236" max="9236" width="11.5703125" style="297" customWidth="1"/>
    <col min="9237" max="9237" width="13" style="297" customWidth="1"/>
    <col min="9238" max="9238" width="1.42578125" style="297" customWidth="1"/>
    <col min="9239" max="9239" width="10.5703125" style="297" customWidth="1"/>
    <col min="9240" max="9471" width="11" style="297"/>
    <col min="9472" max="9472" width="1.5703125" style="297" customWidth="1"/>
    <col min="9473" max="9473" width="8.5703125" style="297" customWidth="1"/>
    <col min="9474" max="9474" width="28.7109375" style="297" customWidth="1"/>
    <col min="9475" max="9475" width="26.5703125" style="297" customWidth="1"/>
    <col min="9476" max="9476" width="7.7109375" style="297" customWidth="1"/>
    <col min="9477" max="9477" width="19.42578125" style="297" customWidth="1"/>
    <col min="9478" max="9478" width="44.28515625" style="297" customWidth="1"/>
    <col min="9479" max="9479" width="17" style="297" customWidth="1"/>
    <col min="9480" max="9480" width="15.5703125" style="297" customWidth="1"/>
    <col min="9481" max="9481" width="14.140625" style="297" customWidth="1"/>
    <col min="9482" max="9482" width="1.7109375" style="297" customWidth="1"/>
    <col min="9483" max="9483" width="13.7109375" style="297" customWidth="1"/>
    <col min="9484" max="9484" width="13.85546875" style="297" bestFit="1" customWidth="1"/>
    <col min="9485" max="9485" width="2.5703125" style="297" customWidth="1"/>
    <col min="9486" max="9486" width="12.42578125" style="297" customWidth="1"/>
    <col min="9487" max="9487" width="13.5703125" style="297" customWidth="1"/>
    <col min="9488" max="9488" width="2.5703125" style="297" customWidth="1"/>
    <col min="9489" max="9489" width="12.42578125" style="297" customWidth="1"/>
    <col min="9490" max="9490" width="13.5703125" style="297" customWidth="1"/>
    <col min="9491" max="9491" width="2.5703125" style="297" customWidth="1"/>
    <col min="9492" max="9492" width="11.5703125" style="297" customWidth="1"/>
    <col min="9493" max="9493" width="13" style="297" customWidth="1"/>
    <col min="9494" max="9494" width="1.42578125" style="297" customWidth="1"/>
    <col min="9495" max="9495" width="10.5703125" style="297" customWidth="1"/>
    <col min="9496" max="9727" width="11" style="297"/>
    <col min="9728" max="9728" width="1.5703125" style="297" customWidth="1"/>
    <col min="9729" max="9729" width="8.5703125" style="297" customWidth="1"/>
    <col min="9730" max="9730" width="28.7109375" style="297" customWidth="1"/>
    <col min="9731" max="9731" width="26.5703125" style="297" customWidth="1"/>
    <col min="9732" max="9732" width="7.7109375" style="297" customWidth="1"/>
    <col min="9733" max="9733" width="19.42578125" style="297" customWidth="1"/>
    <col min="9734" max="9734" width="44.28515625" style="297" customWidth="1"/>
    <col min="9735" max="9735" width="17" style="297" customWidth="1"/>
    <col min="9736" max="9736" width="15.5703125" style="297" customWidth="1"/>
    <col min="9737" max="9737" width="14.140625" style="297" customWidth="1"/>
    <col min="9738" max="9738" width="1.7109375" style="297" customWidth="1"/>
    <col min="9739" max="9739" width="13.7109375" style="297" customWidth="1"/>
    <col min="9740" max="9740" width="13.85546875" style="297" bestFit="1" customWidth="1"/>
    <col min="9741" max="9741" width="2.5703125" style="297" customWidth="1"/>
    <col min="9742" max="9742" width="12.42578125" style="297" customWidth="1"/>
    <col min="9743" max="9743" width="13.5703125" style="297" customWidth="1"/>
    <col min="9744" max="9744" width="2.5703125" style="297" customWidth="1"/>
    <col min="9745" max="9745" width="12.42578125" style="297" customWidth="1"/>
    <col min="9746" max="9746" width="13.5703125" style="297" customWidth="1"/>
    <col min="9747" max="9747" width="2.5703125" style="297" customWidth="1"/>
    <col min="9748" max="9748" width="11.5703125" style="297" customWidth="1"/>
    <col min="9749" max="9749" width="13" style="297" customWidth="1"/>
    <col min="9750" max="9750" width="1.42578125" style="297" customWidth="1"/>
    <col min="9751" max="9751" width="10.5703125" style="297" customWidth="1"/>
    <col min="9752" max="9983" width="11" style="297"/>
    <col min="9984" max="9984" width="1.5703125" style="297" customWidth="1"/>
    <col min="9985" max="9985" width="8.5703125" style="297" customWidth="1"/>
    <col min="9986" max="9986" width="28.7109375" style="297" customWidth="1"/>
    <col min="9987" max="9987" width="26.5703125" style="297" customWidth="1"/>
    <col min="9988" max="9988" width="7.7109375" style="297" customWidth="1"/>
    <col min="9989" max="9989" width="19.42578125" style="297" customWidth="1"/>
    <col min="9990" max="9990" width="44.28515625" style="297" customWidth="1"/>
    <col min="9991" max="9991" width="17" style="297" customWidth="1"/>
    <col min="9992" max="9992" width="15.5703125" style="297" customWidth="1"/>
    <col min="9993" max="9993" width="14.140625" style="297" customWidth="1"/>
    <col min="9994" max="9994" width="1.7109375" style="297" customWidth="1"/>
    <col min="9995" max="9995" width="13.7109375" style="297" customWidth="1"/>
    <col min="9996" max="9996" width="13.85546875" style="297" bestFit="1" customWidth="1"/>
    <col min="9997" max="9997" width="2.5703125" style="297" customWidth="1"/>
    <col min="9998" max="9998" width="12.42578125" style="297" customWidth="1"/>
    <col min="9999" max="9999" width="13.5703125" style="297" customWidth="1"/>
    <col min="10000" max="10000" width="2.5703125" style="297" customWidth="1"/>
    <col min="10001" max="10001" width="12.42578125" style="297" customWidth="1"/>
    <col min="10002" max="10002" width="13.5703125" style="297" customWidth="1"/>
    <col min="10003" max="10003" width="2.5703125" style="297" customWidth="1"/>
    <col min="10004" max="10004" width="11.5703125" style="297" customWidth="1"/>
    <col min="10005" max="10005" width="13" style="297" customWidth="1"/>
    <col min="10006" max="10006" width="1.42578125" style="297" customWidth="1"/>
    <col min="10007" max="10007" width="10.5703125" style="297" customWidth="1"/>
    <col min="10008" max="10239" width="11" style="297"/>
    <col min="10240" max="10240" width="1.5703125" style="297" customWidth="1"/>
    <col min="10241" max="10241" width="8.5703125" style="297" customWidth="1"/>
    <col min="10242" max="10242" width="28.7109375" style="297" customWidth="1"/>
    <col min="10243" max="10243" width="26.5703125" style="297" customWidth="1"/>
    <col min="10244" max="10244" width="7.7109375" style="297" customWidth="1"/>
    <col min="10245" max="10245" width="19.42578125" style="297" customWidth="1"/>
    <col min="10246" max="10246" width="44.28515625" style="297" customWidth="1"/>
    <col min="10247" max="10247" width="17" style="297" customWidth="1"/>
    <col min="10248" max="10248" width="15.5703125" style="297" customWidth="1"/>
    <col min="10249" max="10249" width="14.140625" style="297" customWidth="1"/>
    <col min="10250" max="10250" width="1.7109375" style="297" customWidth="1"/>
    <col min="10251" max="10251" width="13.7109375" style="297" customWidth="1"/>
    <col min="10252" max="10252" width="13.85546875" style="297" bestFit="1" customWidth="1"/>
    <col min="10253" max="10253" width="2.5703125" style="297" customWidth="1"/>
    <col min="10254" max="10254" width="12.42578125" style="297" customWidth="1"/>
    <col min="10255" max="10255" width="13.5703125" style="297" customWidth="1"/>
    <col min="10256" max="10256" width="2.5703125" style="297" customWidth="1"/>
    <col min="10257" max="10257" width="12.42578125" style="297" customWidth="1"/>
    <col min="10258" max="10258" width="13.5703125" style="297" customWidth="1"/>
    <col min="10259" max="10259" width="2.5703125" style="297" customWidth="1"/>
    <col min="10260" max="10260" width="11.5703125" style="297" customWidth="1"/>
    <col min="10261" max="10261" width="13" style="297" customWidth="1"/>
    <col min="10262" max="10262" width="1.42578125" style="297" customWidth="1"/>
    <col min="10263" max="10263" width="10.5703125" style="297" customWidth="1"/>
    <col min="10264" max="10495" width="11" style="297"/>
    <col min="10496" max="10496" width="1.5703125" style="297" customWidth="1"/>
    <col min="10497" max="10497" width="8.5703125" style="297" customWidth="1"/>
    <col min="10498" max="10498" width="28.7109375" style="297" customWidth="1"/>
    <col min="10499" max="10499" width="26.5703125" style="297" customWidth="1"/>
    <col min="10500" max="10500" width="7.7109375" style="297" customWidth="1"/>
    <col min="10501" max="10501" width="19.42578125" style="297" customWidth="1"/>
    <col min="10502" max="10502" width="44.28515625" style="297" customWidth="1"/>
    <col min="10503" max="10503" width="17" style="297" customWidth="1"/>
    <col min="10504" max="10504" width="15.5703125" style="297" customWidth="1"/>
    <col min="10505" max="10505" width="14.140625" style="297" customWidth="1"/>
    <col min="10506" max="10506" width="1.7109375" style="297" customWidth="1"/>
    <col min="10507" max="10507" width="13.7109375" style="297" customWidth="1"/>
    <col min="10508" max="10508" width="13.85546875" style="297" bestFit="1" customWidth="1"/>
    <col min="10509" max="10509" width="2.5703125" style="297" customWidth="1"/>
    <col min="10510" max="10510" width="12.42578125" style="297" customWidth="1"/>
    <col min="10511" max="10511" width="13.5703125" style="297" customWidth="1"/>
    <col min="10512" max="10512" width="2.5703125" style="297" customWidth="1"/>
    <col min="10513" max="10513" width="12.42578125" style="297" customWidth="1"/>
    <col min="10514" max="10514" width="13.5703125" style="297" customWidth="1"/>
    <col min="10515" max="10515" width="2.5703125" style="297" customWidth="1"/>
    <col min="10516" max="10516" width="11.5703125" style="297" customWidth="1"/>
    <col min="10517" max="10517" width="13" style="297" customWidth="1"/>
    <col min="10518" max="10518" width="1.42578125" style="297" customWidth="1"/>
    <col min="10519" max="10519" width="10.5703125" style="297" customWidth="1"/>
    <col min="10520" max="10751" width="11" style="297"/>
    <col min="10752" max="10752" width="1.5703125" style="297" customWidth="1"/>
    <col min="10753" max="10753" width="8.5703125" style="297" customWidth="1"/>
    <col min="10754" max="10754" width="28.7109375" style="297" customWidth="1"/>
    <col min="10755" max="10755" width="26.5703125" style="297" customWidth="1"/>
    <col min="10756" max="10756" width="7.7109375" style="297" customWidth="1"/>
    <col min="10757" max="10757" width="19.42578125" style="297" customWidth="1"/>
    <col min="10758" max="10758" width="44.28515625" style="297" customWidth="1"/>
    <col min="10759" max="10759" width="17" style="297" customWidth="1"/>
    <col min="10760" max="10760" width="15.5703125" style="297" customWidth="1"/>
    <col min="10761" max="10761" width="14.140625" style="297" customWidth="1"/>
    <col min="10762" max="10762" width="1.7109375" style="297" customWidth="1"/>
    <col min="10763" max="10763" width="13.7109375" style="297" customWidth="1"/>
    <col min="10764" max="10764" width="13.85546875" style="297" bestFit="1" customWidth="1"/>
    <col min="10765" max="10765" width="2.5703125" style="297" customWidth="1"/>
    <col min="10766" max="10766" width="12.42578125" style="297" customWidth="1"/>
    <col min="10767" max="10767" width="13.5703125" style="297" customWidth="1"/>
    <col min="10768" max="10768" width="2.5703125" style="297" customWidth="1"/>
    <col min="10769" max="10769" width="12.42578125" style="297" customWidth="1"/>
    <col min="10770" max="10770" width="13.5703125" style="297" customWidth="1"/>
    <col min="10771" max="10771" width="2.5703125" style="297" customWidth="1"/>
    <col min="10772" max="10772" width="11.5703125" style="297" customWidth="1"/>
    <col min="10773" max="10773" width="13" style="297" customWidth="1"/>
    <col min="10774" max="10774" width="1.42578125" style="297" customWidth="1"/>
    <col min="10775" max="10775" width="10.5703125" style="297" customWidth="1"/>
    <col min="10776" max="11007" width="11" style="297"/>
    <col min="11008" max="11008" width="1.5703125" style="297" customWidth="1"/>
    <col min="11009" max="11009" width="8.5703125" style="297" customWidth="1"/>
    <col min="11010" max="11010" width="28.7109375" style="297" customWidth="1"/>
    <col min="11011" max="11011" width="26.5703125" style="297" customWidth="1"/>
    <col min="11012" max="11012" width="7.7109375" style="297" customWidth="1"/>
    <col min="11013" max="11013" width="19.42578125" style="297" customWidth="1"/>
    <col min="11014" max="11014" width="44.28515625" style="297" customWidth="1"/>
    <col min="11015" max="11015" width="17" style="297" customWidth="1"/>
    <col min="11016" max="11016" width="15.5703125" style="297" customWidth="1"/>
    <col min="11017" max="11017" width="14.140625" style="297" customWidth="1"/>
    <col min="11018" max="11018" width="1.7109375" style="297" customWidth="1"/>
    <col min="11019" max="11019" width="13.7109375" style="297" customWidth="1"/>
    <col min="11020" max="11020" width="13.85546875" style="297" bestFit="1" customWidth="1"/>
    <col min="11021" max="11021" width="2.5703125" style="297" customWidth="1"/>
    <col min="11022" max="11022" width="12.42578125" style="297" customWidth="1"/>
    <col min="11023" max="11023" width="13.5703125" style="297" customWidth="1"/>
    <col min="11024" max="11024" width="2.5703125" style="297" customWidth="1"/>
    <col min="11025" max="11025" width="12.42578125" style="297" customWidth="1"/>
    <col min="11026" max="11026" width="13.5703125" style="297" customWidth="1"/>
    <col min="11027" max="11027" width="2.5703125" style="297" customWidth="1"/>
    <col min="11028" max="11028" width="11.5703125" style="297" customWidth="1"/>
    <col min="11029" max="11029" width="13" style="297" customWidth="1"/>
    <col min="11030" max="11030" width="1.42578125" style="297" customWidth="1"/>
    <col min="11031" max="11031" width="10.5703125" style="297" customWidth="1"/>
    <col min="11032" max="11263" width="11" style="297"/>
    <col min="11264" max="11264" width="1.5703125" style="297" customWidth="1"/>
    <col min="11265" max="11265" width="8.5703125" style="297" customWidth="1"/>
    <col min="11266" max="11266" width="28.7109375" style="297" customWidth="1"/>
    <col min="11267" max="11267" width="26.5703125" style="297" customWidth="1"/>
    <col min="11268" max="11268" width="7.7109375" style="297" customWidth="1"/>
    <col min="11269" max="11269" width="19.42578125" style="297" customWidth="1"/>
    <col min="11270" max="11270" width="44.28515625" style="297" customWidth="1"/>
    <col min="11271" max="11271" width="17" style="297" customWidth="1"/>
    <col min="11272" max="11272" width="15.5703125" style="297" customWidth="1"/>
    <col min="11273" max="11273" width="14.140625" style="297" customWidth="1"/>
    <col min="11274" max="11274" width="1.7109375" style="297" customWidth="1"/>
    <col min="11275" max="11275" width="13.7109375" style="297" customWidth="1"/>
    <col min="11276" max="11276" width="13.85546875" style="297" bestFit="1" customWidth="1"/>
    <col min="11277" max="11277" width="2.5703125" style="297" customWidth="1"/>
    <col min="11278" max="11278" width="12.42578125" style="297" customWidth="1"/>
    <col min="11279" max="11279" width="13.5703125" style="297" customWidth="1"/>
    <col min="11280" max="11280" width="2.5703125" style="297" customWidth="1"/>
    <col min="11281" max="11281" width="12.42578125" style="297" customWidth="1"/>
    <col min="11282" max="11282" width="13.5703125" style="297" customWidth="1"/>
    <col min="11283" max="11283" width="2.5703125" style="297" customWidth="1"/>
    <col min="11284" max="11284" width="11.5703125" style="297" customWidth="1"/>
    <col min="11285" max="11285" width="13" style="297" customWidth="1"/>
    <col min="11286" max="11286" width="1.42578125" style="297" customWidth="1"/>
    <col min="11287" max="11287" width="10.5703125" style="297" customWidth="1"/>
    <col min="11288" max="11519" width="11" style="297"/>
    <col min="11520" max="11520" width="1.5703125" style="297" customWidth="1"/>
    <col min="11521" max="11521" width="8.5703125" style="297" customWidth="1"/>
    <col min="11522" max="11522" width="28.7109375" style="297" customWidth="1"/>
    <col min="11523" max="11523" width="26.5703125" style="297" customWidth="1"/>
    <col min="11524" max="11524" width="7.7109375" style="297" customWidth="1"/>
    <col min="11525" max="11525" width="19.42578125" style="297" customWidth="1"/>
    <col min="11526" max="11526" width="44.28515625" style="297" customWidth="1"/>
    <col min="11527" max="11527" width="17" style="297" customWidth="1"/>
    <col min="11528" max="11528" width="15.5703125" style="297" customWidth="1"/>
    <col min="11529" max="11529" width="14.140625" style="297" customWidth="1"/>
    <col min="11530" max="11530" width="1.7109375" style="297" customWidth="1"/>
    <col min="11531" max="11531" width="13.7109375" style="297" customWidth="1"/>
    <col min="11532" max="11532" width="13.85546875" style="297" bestFit="1" customWidth="1"/>
    <col min="11533" max="11533" width="2.5703125" style="297" customWidth="1"/>
    <col min="11534" max="11534" width="12.42578125" style="297" customWidth="1"/>
    <col min="11535" max="11535" width="13.5703125" style="297" customWidth="1"/>
    <col min="11536" max="11536" width="2.5703125" style="297" customWidth="1"/>
    <col min="11537" max="11537" width="12.42578125" style="297" customWidth="1"/>
    <col min="11538" max="11538" width="13.5703125" style="297" customWidth="1"/>
    <col min="11539" max="11539" width="2.5703125" style="297" customWidth="1"/>
    <col min="11540" max="11540" width="11.5703125" style="297" customWidth="1"/>
    <col min="11541" max="11541" width="13" style="297" customWidth="1"/>
    <col min="11542" max="11542" width="1.42578125" style="297" customWidth="1"/>
    <col min="11543" max="11543" width="10.5703125" style="297" customWidth="1"/>
    <col min="11544" max="11775" width="11" style="297"/>
    <col min="11776" max="11776" width="1.5703125" style="297" customWidth="1"/>
    <col min="11777" max="11777" width="8.5703125" style="297" customWidth="1"/>
    <col min="11778" max="11778" width="28.7109375" style="297" customWidth="1"/>
    <col min="11779" max="11779" width="26.5703125" style="297" customWidth="1"/>
    <col min="11780" max="11780" width="7.7109375" style="297" customWidth="1"/>
    <col min="11781" max="11781" width="19.42578125" style="297" customWidth="1"/>
    <col min="11782" max="11782" width="44.28515625" style="297" customWidth="1"/>
    <col min="11783" max="11783" width="17" style="297" customWidth="1"/>
    <col min="11784" max="11784" width="15.5703125" style="297" customWidth="1"/>
    <col min="11785" max="11785" width="14.140625" style="297" customWidth="1"/>
    <col min="11786" max="11786" width="1.7109375" style="297" customWidth="1"/>
    <col min="11787" max="11787" width="13.7109375" style="297" customWidth="1"/>
    <col min="11788" max="11788" width="13.85546875" style="297" bestFit="1" customWidth="1"/>
    <col min="11789" max="11789" width="2.5703125" style="297" customWidth="1"/>
    <col min="11790" max="11790" width="12.42578125" style="297" customWidth="1"/>
    <col min="11791" max="11791" width="13.5703125" style="297" customWidth="1"/>
    <col min="11792" max="11792" width="2.5703125" style="297" customWidth="1"/>
    <col min="11793" max="11793" width="12.42578125" style="297" customWidth="1"/>
    <col min="11794" max="11794" width="13.5703125" style="297" customWidth="1"/>
    <col min="11795" max="11795" width="2.5703125" style="297" customWidth="1"/>
    <col min="11796" max="11796" width="11.5703125" style="297" customWidth="1"/>
    <col min="11797" max="11797" width="13" style="297" customWidth="1"/>
    <col min="11798" max="11798" width="1.42578125" style="297" customWidth="1"/>
    <col min="11799" max="11799" width="10.5703125" style="297" customWidth="1"/>
    <col min="11800" max="12031" width="11" style="297"/>
    <col min="12032" max="12032" width="1.5703125" style="297" customWidth="1"/>
    <col min="12033" max="12033" width="8.5703125" style="297" customWidth="1"/>
    <col min="12034" max="12034" width="28.7109375" style="297" customWidth="1"/>
    <col min="12035" max="12035" width="26.5703125" style="297" customWidth="1"/>
    <col min="12036" max="12036" width="7.7109375" style="297" customWidth="1"/>
    <col min="12037" max="12037" width="19.42578125" style="297" customWidth="1"/>
    <col min="12038" max="12038" width="44.28515625" style="297" customWidth="1"/>
    <col min="12039" max="12039" width="17" style="297" customWidth="1"/>
    <col min="12040" max="12040" width="15.5703125" style="297" customWidth="1"/>
    <col min="12041" max="12041" width="14.140625" style="297" customWidth="1"/>
    <col min="12042" max="12042" width="1.7109375" style="297" customWidth="1"/>
    <col min="12043" max="12043" width="13.7109375" style="297" customWidth="1"/>
    <col min="12044" max="12044" width="13.85546875" style="297" bestFit="1" customWidth="1"/>
    <col min="12045" max="12045" width="2.5703125" style="297" customWidth="1"/>
    <col min="12046" max="12046" width="12.42578125" style="297" customWidth="1"/>
    <col min="12047" max="12047" width="13.5703125" style="297" customWidth="1"/>
    <col min="12048" max="12048" width="2.5703125" style="297" customWidth="1"/>
    <col min="12049" max="12049" width="12.42578125" style="297" customWidth="1"/>
    <col min="12050" max="12050" width="13.5703125" style="297" customWidth="1"/>
    <col min="12051" max="12051" width="2.5703125" style="297" customWidth="1"/>
    <col min="12052" max="12052" width="11.5703125" style="297" customWidth="1"/>
    <col min="12053" max="12053" width="13" style="297" customWidth="1"/>
    <col min="12054" max="12054" width="1.42578125" style="297" customWidth="1"/>
    <col min="12055" max="12055" width="10.5703125" style="297" customWidth="1"/>
    <col min="12056" max="12287" width="11" style="297"/>
    <col min="12288" max="12288" width="1.5703125" style="297" customWidth="1"/>
    <col min="12289" max="12289" width="8.5703125" style="297" customWidth="1"/>
    <col min="12290" max="12290" width="28.7109375" style="297" customWidth="1"/>
    <col min="12291" max="12291" width="26.5703125" style="297" customWidth="1"/>
    <col min="12292" max="12292" width="7.7109375" style="297" customWidth="1"/>
    <col min="12293" max="12293" width="19.42578125" style="297" customWidth="1"/>
    <col min="12294" max="12294" width="44.28515625" style="297" customWidth="1"/>
    <col min="12295" max="12295" width="17" style="297" customWidth="1"/>
    <col min="12296" max="12296" width="15.5703125" style="297" customWidth="1"/>
    <col min="12297" max="12297" width="14.140625" style="297" customWidth="1"/>
    <col min="12298" max="12298" width="1.7109375" style="297" customWidth="1"/>
    <col min="12299" max="12299" width="13.7109375" style="297" customWidth="1"/>
    <col min="12300" max="12300" width="13.85546875" style="297" bestFit="1" customWidth="1"/>
    <col min="12301" max="12301" width="2.5703125" style="297" customWidth="1"/>
    <col min="12302" max="12302" width="12.42578125" style="297" customWidth="1"/>
    <col min="12303" max="12303" width="13.5703125" style="297" customWidth="1"/>
    <col min="12304" max="12304" width="2.5703125" style="297" customWidth="1"/>
    <col min="12305" max="12305" width="12.42578125" style="297" customWidth="1"/>
    <col min="12306" max="12306" width="13.5703125" style="297" customWidth="1"/>
    <col min="12307" max="12307" width="2.5703125" style="297" customWidth="1"/>
    <col min="12308" max="12308" width="11.5703125" style="297" customWidth="1"/>
    <col min="12309" max="12309" width="13" style="297" customWidth="1"/>
    <col min="12310" max="12310" width="1.42578125" style="297" customWidth="1"/>
    <col min="12311" max="12311" width="10.5703125" style="297" customWidth="1"/>
    <col min="12312" max="12543" width="11" style="297"/>
    <col min="12544" max="12544" width="1.5703125" style="297" customWidth="1"/>
    <col min="12545" max="12545" width="8.5703125" style="297" customWidth="1"/>
    <col min="12546" max="12546" width="28.7109375" style="297" customWidth="1"/>
    <col min="12547" max="12547" width="26.5703125" style="297" customWidth="1"/>
    <col min="12548" max="12548" width="7.7109375" style="297" customWidth="1"/>
    <col min="12549" max="12549" width="19.42578125" style="297" customWidth="1"/>
    <col min="12550" max="12550" width="44.28515625" style="297" customWidth="1"/>
    <col min="12551" max="12551" width="17" style="297" customWidth="1"/>
    <col min="12552" max="12552" width="15.5703125" style="297" customWidth="1"/>
    <col min="12553" max="12553" width="14.140625" style="297" customWidth="1"/>
    <col min="12554" max="12554" width="1.7109375" style="297" customWidth="1"/>
    <col min="12555" max="12555" width="13.7109375" style="297" customWidth="1"/>
    <col min="12556" max="12556" width="13.85546875" style="297" bestFit="1" customWidth="1"/>
    <col min="12557" max="12557" width="2.5703125" style="297" customWidth="1"/>
    <col min="12558" max="12558" width="12.42578125" style="297" customWidth="1"/>
    <col min="12559" max="12559" width="13.5703125" style="297" customWidth="1"/>
    <col min="12560" max="12560" width="2.5703125" style="297" customWidth="1"/>
    <col min="12561" max="12561" width="12.42578125" style="297" customWidth="1"/>
    <col min="12562" max="12562" width="13.5703125" style="297" customWidth="1"/>
    <col min="12563" max="12563" width="2.5703125" style="297" customWidth="1"/>
    <col min="12564" max="12564" width="11.5703125" style="297" customWidth="1"/>
    <col min="12565" max="12565" width="13" style="297" customWidth="1"/>
    <col min="12566" max="12566" width="1.42578125" style="297" customWidth="1"/>
    <col min="12567" max="12567" width="10.5703125" style="297" customWidth="1"/>
    <col min="12568" max="12799" width="11" style="297"/>
    <col min="12800" max="12800" width="1.5703125" style="297" customWidth="1"/>
    <col min="12801" max="12801" width="8.5703125" style="297" customWidth="1"/>
    <col min="12802" max="12802" width="28.7109375" style="297" customWidth="1"/>
    <col min="12803" max="12803" width="26.5703125" style="297" customWidth="1"/>
    <col min="12804" max="12804" width="7.7109375" style="297" customWidth="1"/>
    <col min="12805" max="12805" width="19.42578125" style="297" customWidth="1"/>
    <col min="12806" max="12806" width="44.28515625" style="297" customWidth="1"/>
    <col min="12807" max="12807" width="17" style="297" customWidth="1"/>
    <col min="12808" max="12808" width="15.5703125" style="297" customWidth="1"/>
    <col min="12809" max="12809" width="14.140625" style="297" customWidth="1"/>
    <col min="12810" max="12810" width="1.7109375" style="297" customWidth="1"/>
    <col min="12811" max="12811" width="13.7109375" style="297" customWidth="1"/>
    <col min="12812" max="12812" width="13.85546875" style="297" bestFit="1" customWidth="1"/>
    <col min="12813" max="12813" width="2.5703125" style="297" customWidth="1"/>
    <col min="12814" max="12814" width="12.42578125" style="297" customWidth="1"/>
    <col min="12815" max="12815" width="13.5703125" style="297" customWidth="1"/>
    <col min="12816" max="12816" width="2.5703125" style="297" customWidth="1"/>
    <col min="12817" max="12817" width="12.42578125" style="297" customWidth="1"/>
    <col min="12818" max="12818" width="13.5703125" style="297" customWidth="1"/>
    <col min="12819" max="12819" width="2.5703125" style="297" customWidth="1"/>
    <col min="12820" max="12820" width="11.5703125" style="297" customWidth="1"/>
    <col min="12821" max="12821" width="13" style="297" customWidth="1"/>
    <col min="12822" max="12822" width="1.42578125" style="297" customWidth="1"/>
    <col min="12823" max="12823" width="10.5703125" style="297" customWidth="1"/>
    <col min="12824" max="13055" width="11" style="297"/>
    <col min="13056" max="13056" width="1.5703125" style="297" customWidth="1"/>
    <col min="13057" max="13057" width="8.5703125" style="297" customWidth="1"/>
    <col min="13058" max="13058" width="28.7109375" style="297" customWidth="1"/>
    <col min="13059" max="13059" width="26.5703125" style="297" customWidth="1"/>
    <col min="13060" max="13060" width="7.7109375" style="297" customWidth="1"/>
    <col min="13061" max="13061" width="19.42578125" style="297" customWidth="1"/>
    <col min="13062" max="13062" width="44.28515625" style="297" customWidth="1"/>
    <col min="13063" max="13063" width="17" style="297" customWidth="1"/>
    <col min="13064" max="13064" width="15.5703125" style="297" customWidth="1"/>
    <col min="13065" max="13065" width="14.140625" style="297" customWidth="1"/>
    <col min="13066" max="13066" width="1.7109375" style="297" customWidth="1"/>
    <col min="13067" max="13067" width="13.7109375" style="297" customWidth="1"/>
    <col min="13068" max="13068" width="13.85546875" style="297" bestFit="1" customWidth="1"/>
    <col min="13069" max="13069" width="2.5703125" style="297" customWidth="1"/>
    <col min="13070" max="13070" width="12.42578125" style="297" customWidth="1"/>
    <col min="13071" max="13071" width="13.5703125" style="297" customWidth="1"/>
    <col min="13072" max="13072" width="2.5703125" style="297" customWidth="1"/>
    <col min="13073" max="13073" width="12.42578125" style="297" customWidth="1"/>
    <col min="13074" max="13074" width="13.5703125" style="297" customWidth="1"/>
    <col min="13075" max="13075" width="2.5703125" style="297" customWidth="1"/>
    <col min="13076" max="13076" width="11.5703125" style="297" customWidth="1"/>
    <col min="13077" max="13077" width="13" style="297" customWidth="1"/>
    <col min="13078" max="13078" width="1.42578125" style="297" customWidth="1"/>
    <col min="13079" max="13079" width="10.5703125" style="297" customWidth="1"/>
    <col min="13080" max="13311" width="11" style="297"/>
    <col min="13312" max="13312" width="1.5703125" style="297" customWidth="1"/>
    <col min="13313" max="13313" width="8.5703125" style="297" customWidth="1"/>
    <col min="13314" max="13314" width="28.7109375" style="297" customWidth="1"/>
    <col min="13315" max="13315" width="26.5703125" style="297" customWidth="1"/>
    <col min="13316" max="13316" width="7.7109375" style="297" customWidth="1"/>
    <col min="13317" max="13317" width="19.42578125" style="297" customWidth="1"/>
    <col min="13318" max="13318" width="44.28515625" style="297" customWidth="1"/>
    <col min="13319" max="13319" width="17" style="297" customWidth="1"/>
    <col min="13320" max="13320" width="15.5703125" style="297" customWidth="1"/>
    <col min="13321" max="13321" width="14.140625" style="297" customWidth="1"/>
    <col min="13322" max="13322" width="1.7109375" style="297" customWidth="1"/>
    <col min="13323" max="13323" width="13.7109375" style="297" customWidth="1"/>
    <col min="13324" max="13324" width="13.85546875" style="297" bestFit="1" customWidth="1"/>
    <col min="13325" max="13325" width="2.5703125" style="297" customWidth="1"/>
    <col min="13326" max="13326" width="12.42578125" style="297" customWidth="1"/>
    <col min="13327" max="13327" width="13.5703125" style="297" customWidth="1"/>
    <col min="13328" max="13328" width="2.5703125" style="297" customWidth="1"/>
    <col min="13329" max="13329" width="12.42578125" style="297" customWidth="1"/>
    <col min="13330" max="13330" width="13.5703125" style="297" customWidth="1"/>
    <col min="13331" max="13331" width="2.5703125" style="297" customWidth="1"/>
    <col min="13332" max="13332" width="11.5703125" style="297" customWidth="1"/>
    <col min="13333" max="13333" width="13" style="297" customWidth="1"/>
    <col min="13334" max="13334" width="1.42578125" style="297" customWidth="1"/>
    <col min="13335" max="13335" width="10.5703125" style="297" customWidth="1"/>
    <col min="13336" max="13567" width="11" style="297"/>
    <col min="13568" max="13568" width="1.5703125" style="297" customWidth="1"/>
    <col min="13569" max="13569" width="8.5703125" style="297" customWidth="1"/>
    <col min="13570" max="13570" width="28.7109375" style="297" customWidth="1"/>
    <col min="13571" max="13571" width="26.5703125" style="297" customWidth="1"/>
    <col min="13572" max="13572" width="7.7109375" style="297" customWidth="1"/>
    <col min="13573" max="13573" width="19.42578125" style="297" customWidth="1"/>
    <col min="13574" max="13574" width="44.28515625" style="297" customWidth="1"/>
    <col min="13575" max="13575" width="17" style="297" customWidth="1"/>
    <col min="13576" max="13576" width="15.5703125" style="297" customWidth="1"/>
    <col min="13577" max="13577" width="14.140625" style="297" customWidth="1"/>
    <col min="13578" max="13578" width="1.7109375" style="297" customWidth="1"/>
    <col min="13579" max="13579" width="13.7109375" style="297" customWidth="1"/>
    <col min="13580" max="13580" width="13.85546875" style="297" bestFit="1" customWidth="1"/>
    <col min="13581" max="13581" width="2.5703125" style="297" customWidth="1"/>
    <col min="13582" max="13582" width="12.42578125" style="297" customWidth="1"/>
    <col min="13583" max="13583" width="13.5703125" style="297" customWidth="1"/>
    <col min="13584" max="13584" width="2.5703125" style="297" customWidth="1"/>
    <col min="13585" max="13585" width="12.42578125" style="297" customWidth="1"/>
    <col min="13586" max="13586" width="13.5703125" style="297" customWidth="1"/>
    <col min="13587" max="13587" width="2.5703125" style="297" customWidth="1"/>
    <col min="13588" max="13588" width="11.5703125" style="297" customWidth="1"/>
    <col min="13589" max="13589" width="13" style="297" customWidth="1"/>
    <col min="13590" max="13590" width="1.42578125" style="297" customWidth="1"/>
    <col min="13591" max="13591" width="10.5703125" style="297" customWidth="1"/>
    <col min="13592" max="13823" width="11" style="297"/>
    <col min="13824" max="13824" width="1.5703125" style="297" customWidth="1"/>
    <col min="13825" max="13825" width="8.5703125" style="297" customWidth="1"/>
    <col min="13826" max="13826" width="28.7109375" style="297" customWidth="1"/>
    <col min="13827" max="13827" width="26.5703125" style="297" customWidth="1"/>
    <col min="13828" max="13828" width="7.7109375" style="297" customWidth="1"/>
    <col min="13829" max="13829" width="19.42578125" style="297" customWidth="1"/>
    <col min="13830" max="13830" width="44.28515625" style="297" customWidth="1"/>
    <col min="13831" max="13831" width="17" style="297" customWidth="1"/>
    <col min="13832" max="13832" width="15.5703125" style="297" customWidth="1"/>
    <col min="13833" max="13833" width="14.140625" style="297" customWidth="1"/>
    <col min="13834" max="13834" width="1.7109375" style="297" customWidth="1"/>
    <col min="13835" max="13835" width="13.7109375" style="297" customWidth="1"/>
    <col min="13836" max="13836" width="13.85546875" style="297" bestFit="1" customWidth="1"/>
    <col min="13837" max="13837" width="2.5703125" style="297" customWidth="1"/>
    <col min="13838" max="13838" width="12.42578125" style="297" customWidth="1"/>
    <col min="13839" max="13839" width="13.5703125" style="297" customWidth="1"/>
    <col min="13840" max="13840" width="2.5703125" style="297" customWidth="1"/>
    <col min="13841" max="13841" width="12.42578125" style="297" customWidth="1"/>
    <col min="13842" max="13842" width="13.5703125" style="297" customWidth="1"/>
    <col min="13843" max="13843" width="2.5703125" style="297" customWidth="1"/>
    <col min="13844" max="13844" width="11.5703125" style="297" customWidth="1"/>
    <col min="13845" max="13845" width="13" style="297" customWidth="1"/>
    <col min="13846" max="13846" width="1.42578125" style="297" customWidth="1"/>
    <col min="13847" max="13847" width="10.5703125" style="297" customWidth="1"/>
    <col min="13848" max="14079" width="11" style="297"/>
    <col min="14080" max="14080" width="1.5703125" style="297" customWidth="1"/>
    <col min="14081" max="14081" width="8.5703125" style="297" customWidth="1"/>
    <col min="14082" max="14082" width="28.7109375" style="297" customWidth="1"/>
    <col min="14083" max="14083" width="26.5703125" style="297" customWidth="1"/>
    <col min="14084" max="14084" width="7.7109375" style="297" customWidth="1"/>
    <col min="14085" max="14085" width="19.42578125" style="297" customWidth="1"/>
    <col min="14086" max="14086" width="44.28515625" style="297" customWidth="1"/>
    <col min="14087" max="14087" width="17" style="297" customWidth="1"/>
    <col min="14088" max="14088" width="15.5703125" style="297" customWidth="1"/>
    <col min="14089" max="14089" width="14.140625" style="297" customWidth="1"/>
    <col min="14090" max="14090" width="1.7109375" style="297" customWidth="1"/>
    <col min="14091" max="14091" width="13.7109375" style="297" customWidth="1"/>
    <col min="14092" max="14092" width="13.85546875" style="297" bestFit="1" customWidth="1"/>
    <col min="14093" max="14093" width="2.5703125" style="297" customWidth="1"/>
    <col min="14094" max="14094" width="12.42578125" style="297" customWidth="1"/>
    <col min="14095" max="14095" width="13.5703125" style="297" customWidth="1"/>
    <col min="14096" max="14096" width="2.5703125" style="297" customWidth="1"/>
    <col min="14097" max="14097" width="12.42578125" style="297" customWidth="1"/>
    <col min="14098" max="14098" width="13.5703125" style="297" customWidth="1"/>
    <col min="14099" max="14099" width="2.5703125" style="297" customWidth="1"/>
    <col min="14100" max="14100" width="11.5703125" style="297" customWidth="1"/>
    <col min="14101" max="14101" width="13" style="297" customWidth="1"/>
    <col min="14102" max="14102" width="1.42578125" style="297" customWidth="1"/>
    <col min="14103" max="14103" width="10.5703125" style="297" customWidth="1"/>
    <col min="14104" max="14335" width="11" style="297"/>
    <col min="14336" max="14336" width="1.5703125" style="297" customWidth="1"/>
    <col min="14337" max="14337" width="8.5703125" style="297" customWidth="1"/>
    <col min="14338" max="14338" width="28.7109375" style="297" customWidth="1"/>
    <col min="14339" max="14339" width="26.5703125" style="297" customWidth="1"/>
    <col min="14340" max="14340" width="7.7109375" style="297" customWidth="1"/>
    <col min="14341" max="14341" width="19.42578125" style="297" customWidth="1"/>
    <col min="14342" max="14342" width="44.28515625" style="297" customWidth="1"/>
    <col min="14343" max="14343" width="17" style="297" customWidth="1"/>
    <col min="14344" max="14344" width="15.5703125" style="297" customWidth="1"/>
    <col min="14345" max="14345" width="14.140625" style="297" customWidth="1"/>
    <col min="14346" max="14346" width="1.7109375" style="297" customWidth="1"/>
    <col min="14347" max="14347" width="13.7109375" style="297" customWidth="1"/>
    <col min="14348" max="14348" width="13.85546875" style="297" bestFit="1" customWidth="1"/>
    <col min="14349" max="14349" width="2.5703125" style="297" customWidth="1"/>
    <col min="14350" max="14350" width="12.42578125" style="297" customWidth="1"/>
    <col min="14351" max="14351" width="13.5703125" style="297" customWidth="1"/>
    <col min="14352" max="14352" width="2.5703125" style="297" customWidth="1"/>
    <col min="14353" max="14353" width="12.42578125" style="297" customWidth="1"/>
    <col min="14354" max="14354" width="13.5703125" style="297" customWidth="1"/>
    <col min="14355" max="14355" width="2.5703125" style="297" customWidth="1"/>
    <col min="14356" max="14356" width="11.5703125" style="297" customWidth="1"/>
    <col min="14357" max="14357" width="13" style="297" customWidth="1"/>
    <col min="14358" max="14358" width="1.42578125" style="297" customWidth="1"/>
    <col min="14359" max="14359" width="10.5703125" style="297" customWidth="1"/>
    <col min="14360" max="14591" width="11" style="297"/>
    <col min="14592" max="14592" width="1.5703125" style="297" customWidth="1"/>
    <col min="14593" max="14593" width="8.5703125" style="297" customWidth="1"/>
    <col min="14594" max="14594" width="28.7109375" style="297" customWidth="1"/>
    <col min="14595" max="14595" width="26.5703125" style="297" customWidth="1"/>
    <col min="14596" max="14596" width="7.7109375" style="297" customWidth="1"/>
    <col min="14597" max="14597" width="19.42578125" style="297" customWidth="1"/>
    <col min="14598" max="14598" width="44.28515625" style="297" customWidth="1"/>
    <col min="14599" max="14599" width="17" style="297" customWidth="1"/>
    <col min="14600" max="14600" width="15.5703125" style="297" customWidth="1"/>
    <col min="14601" max="14601" width="14.140625" style="297" customWidth="1"/>
    <col min="14602" max="14602" width="1.7109375" style="297" customWidth="1"/>
    <col min="14603" max="14603" width="13.7109375" style="297" customWidth="1"/>
    <col min="14604" max="14604" width="13.85546875" style="297" bestFit="1" customWidth="1"/>
    <col min="14605" max="14605" width="2.5703125" style="297" customWidth="1"/>
    <col min="14606" max="14606" width="12.42578125" style="297" customWidth="1"/>
    <col min="14607" max="14607" width="13.5703125" style="297" customWidth="1"/>
    <col min="14608" max="14608" width="2.5703125" style="297" customWidth="1"/>
    <col min="14609" max="14609" width="12.42578125" style="297" customWidth="1"/>
    <col min="14610" max="14610" width="13.5703125" style="297" customWidth="1"/>
    <col min="14611" max="14611" width="2.5703125" style="297" customWidth="1"/>
    <col min="14612" max="14612" width="11.5703125" style="297" customWidth="1"/>
    <col min="14613" max="14613" width="13" style="297" customWidth="1"/>
    <col min="14614" max="14614" width="1.42578125" style="297" customWidth="1"/>
    <col min="14615" max="14615" width="10.5703125" style="297" customWidth="1"/>
    <col min="14616" max="14847" width="11" style="297"/>
    <col min="14848" max="14848" width="1.5703125" style="297" customWidth="1"/>
    <col min="14849" max="14849" width="8.5703125" style="297" customWidth="1"/>
    <col min="14850" max="14850" width="28.7109375" style="297" customWidth="1"/>
    <col min="14851" max="14851" width="26.5703125" style="297" customWidth="1"/>
    <col min="14852" max="14852" width="7.7109375" style="297" customWidth="1"/>
    <col min="14853" max="14853" width="19.42578125" style="297" customWidth="1"/>
    <col min="14854" max="14854" width="44.28515625" style="297" customWidth="1"/>
    <col min="14855" max="14855" width="17" style="297" customWidth="1"/>
    <col min="14856" max="14856" width="15.5703125" style="297" customWidth="1"/>
    <col min="14857" max="14857" width="14.140625" style="297" customWidth="1"/>
    <col min="14858" max="14858" width="1.7109375" style="297" customWidth="1"/>
    <col min="14859" max="14859" width="13.7109375" style="297" customWidth="1"/>
    <col min="14860" max="14860" width="13.85546875" style="297" bestFit="1" customWidth="1"/>
    <col min="14861" max="14861" width="2.5703125" style="297" customWidth="1"/>
    <col min="14862" max="14862" width="12.42578125" style="297" customWidth="1"/>
    <col min="14863" max="14863" width="13.5703125" style="297" customWidth="1"/>
    <col min="14864" max="14864" width="2.5703125" style="297" customWidth="1"/>
    <col min="14865" max="14865" width="12.42578125" style="297" customWidth="1"/>
    <col min="14866" max="14866" width="13.5703125" style="297" customWidth="1"/>
    <col min="14867" max="14867" width="2.5703125" style="297" customWidth="1"/>
    <col min="14868" max="14868" width="11.5703125" style="297" customWidth="1"/>
    <col min="14869" max="14869" width="13" style="297" customWidth="1"/>
    <col min="14870" max="14870" width="1.42578125" style="297" customWidth="1"/>
    <col min="14871" max="14871" width="10.5703125" style="297" customWidth="1"/>
    <col min="14872" max="15103" width="11" style="297"/>
    <col min="15104" max="15104" width="1.5703125" style="297" customWidth="1"/>
    <col min="15105" max="15105" width="8.5703125" style="297" customWidth="1"/>
    <col min="15106" max="15106" width="28.7109375" style="297" customWidth="1"/>
    <col min="15107" max="15107" width="26.5703125" style="297" customWidth="1"/>
    <col min="15108" max="15108" width="7.7109375" style="297" customWidth="1"/>
    <col min="15109" max="15109" width="19.42578125" style="297" customWidth="1"/>
    <col min="15110" max="15110" width="44.28515625" style="297" customWidth="1"/>
    <col min="15111" max="15111" width="17" style="297" customWidth="1"/>
    <col min="15112" max="15112" width="15.5703125" style="297" customWidth="1"/>
    <col min="15113" max="15113" width="14.140625" style="297" customWidth="1"/>
    <col min="15114" max="15114" width="1.7109375" style="297" customWidth="1"/>
    <col min="15115" max="15115" width="13.7109375" style="297" customWidth="1"/>
    <col min="15116" max="15116" width="13.85546875" style="297" bestFit="1" customWidth="1"/>
    <col min="15117" max="15117" width="2.5703125" style="297" customWidth="1"/>
    <col min="15118" max="15118" width="12.42578125" style="297" customWidth="1"/>
    <col min="15119" max="15119" width="13.5703125" style="297" customWidth="1"/>
    <col min="15120" max="15120" width="2.5703125" style="297" customWidth="1"/>
    <col min="15121" max="15121" width="12.42578125" style="297" customWidth="1"/>
    <col min="15122" max="15122" width="13.5703125" style="297" customWidth="1"/>
    <col min="15123" max="15123" width="2.5703125" style="297" customWidth="1"/>
    <col min="15124" max="15124" width="11.5703125" style="297" customWidth="1"/>
    <col min="15125" max="15125" width="13" style="297" customWidth="1"/>
    <col min="15126" max="15126" width="1.42578125" style="297" customWidth="1"/>
    <col min="15127" max="15127" width="10.5703125" style="297" customWidth="1"/>
    <col min="15128" max="15359" width="11" style="297"/>
    <col min="15360" max="15360" width="1.5703125" style="297" customWidth="1"/>
    <col min="15361" max="15361" width="8.5703125" style="297" customWidth="1"/>
    <col min="15362" max="15362" width="28.7109375" style="297" customWidth="1"/>
    <col min="15363" max="15363" width="26.5703125" style="297" customWidth="1"/>
    <col min="15364" max="15364" width="7.7109375" style="297" customWidth="1"/>
    <col min="15365" max="15365" width="19.42578125" style="297" customWidth="1"/>
    <col min="15366" max="15366" width="44.28515625" style="297" customWidth="1"/>
    <col min="15367" max="15367" width="17" style="297" customWidth="1"/>
    <col min="15368" max="15368" width="15.5703125" style="297" customWidth="1"/>
    <col min="15369" max="15369" width="14.140625" style="297" customWidth="1"/>
    <col min="15370" max="15370" width="1.7109375" style="297" customWidth="1"/>
    <col min="15371" max="15371" width="13.7109375" style="297" customWidth="1"/>
    <col min="15372" max="15372" width="13.85546875" style="297" bestFit="1" customWidth="1"/>
    <col min="15373" max="15373" width="2.5703125" style="297" customWidth="1"/>
    <col min="15374" max="15374" width="12.42578125" style="297" customWidth="1"/>
    <col min="15375" max="15375" width="13.5703125" style="297" customWidth="1"/>
    <col min="15376" max="15376" width="2.5703125" style="297" customWidth="1"/>
    <col min="15377" max="15377" width="12.42578125" style="297" customWidth="1"/>
    <col min="15378" max="15378" width="13.5703125" style="297" customWidth="1"/>
    <col min="15379" max="15379" width="2.5703125" style="297" customWidth="1"/>
    <col min="15380" max="15380" width="11.5703125" style="297" customWidth="1"/>
    <col min="15381" max="15381" width="13" style="297" customWidth="1"/>
    <col min="15382" max="15382" width="1.42578125" style="297" customWidth="1"/>
    <col min="15383" max="15383" width="10.5703125" style="297" customWidth="1"/>
    <col min="15384" max="15615" width="11" style="297"/>
    <col min="15616" max="15616" width="1.5703125" style="297" customWidth="1"/>
    <col min="15617" max="15617" width="8.5703125" style="297" customWidth="1"/>
    <col min="15618" max="15618" width="28.7109375" style="297" customWidth="1"/>
    <col min="15619" max="15619" width="26.5703125" style="297" customWidth="1"/>
    <col min="15620" max="15620" width="7.7109375" style="297" customWidth="1"/>
    <col min="15621" max="15621" width="19.42578125" style="297" customWidth="1"/>
    <col min="15622" max="15622" width="44.28515625" style="297" customWidth="1"/>
    <col min="15623" max="15623" width="17" style="297" customWidth="1"/>
    <col min="15624" max="15624" width="15.5703125" style="297" customWidth="1"/>
    <col min="15625" max="15625" width="14.140625" style="297" customWidth="1"/>
    <col min="15626" max="15626" width="1.7109375" style="297" customWidth="1"/>
    <col min="15627" max="15627" width="13.7109375" style="297" customWidth="1"/>
    <col min="15628" max="15628" width="13.85546875" style="297" bestFit="1" customWidth="1"/>
    <col min="15629" max="15629" width="2.5703125" style="297" customWidth="1"/>
    <col min="15630" max="15630" width="12.42578125" style="297" customWidth="1"/>
    <col min="15631" max="15631" width="13.5703125" style="297" customWidth="1"/>
    <col min="15632" max="15632" width="2.5703125" style="297" customWidth="1"/>
    <col min="15633" max="15633" width="12.42578125" style="297" customWidth="1"/>
    <col min="15634" max="15634" width="13.5703125" style="297" customWidth="1"/>
    <col min="15635" max="15635" width="2.5703125" style="297" customWidth="1"/>
    <col min="15636" max="15636" width="11.5703125" style="297" customWidth="1"/>
    <col min="15637" max="15637" width="13" style="297" customWidth="1"/>
    <col min="15638" max="15638" width="1.42578125" style="297" customWidth="1"/>
    <col min="15639" max="15639" width="10.5703125" style="297" customWidth="1"/>
    <col min="15640" max="15871" width="11" style="297"/>
    <col min="15872" max="15872" width="1.5703125" style="297" customWidth="1"/>
    <col min="15873" max="15873" width="8.5703125" style="297" customWidth="1"/>
    <col min="15874" max="15874" width="28.7109375" style="297" customWidth="1"/>
    <col min="15875" max="15875" width="26.5703125" style="297" customWidth="1"/>
    <col min="15876" max="15876" width="7.7109375" style="297" customWidth="1"/>
    <col min="15877" max="15877" width="19.42578125" style="297" customWidth="1"/>
    <col min="15878" max="15878" width="44.28515625" style="297" customWidth="1"/>
    <col min="15879" max="15879" width="17" style="297" customWidth="1"/>
    <col min="15880" max="15880" width="15.5703125" style="297" customWidth="1"/>
    <col min="15881" max="15881" width="14.140625" style="297" customWidth="1"/>
    <col min="15882" max="15882" width="1.7109375" style="297" customWidth="1"/>
    <col min="15883" max="15883" width="13.7109375" style="297" customWidth="1"/>
    <col min="15884" max="15884" width="13.85546875" style="297" bestFit="1" customWidth="1"/>
    <col min="15885" max="15885" width="2.5703125" style="297" customWidth="1"/>
    <col min="15886" max="15886" width="12.42578125" style="297" customWidth="1"/>
    <col min="15887" max="15887" width="13.5703125" style="297" customWidth="1"/>
    <col min="15888" max="15888" width="2.5703125" style="297" customWidth="1"/>
    <col min="15889" max="15889" width="12.42578125" style="297" customWidth="1"/>
    <col min="15890" max="15890" width="13.5703125" style="297" customWidth="1"/>
    <col min="15891" max="15891" width="2.5703125" style="297" customWidth="1"/>
    <col min="15892" max="15892" width="11.5703125" style="297" customWidth="1"/>
    <col min="15893" max="15893" width="13" style="297" customWidth="1"/>
    <col min="15894" max="15894" width="1.42578125" style="297" customWidth="1"/>
    <col min="15895" max="15895" width="10.5703125" style="297" customWidth="1"/>
    <col min="15896" max="16127" width="11" style="297"/>
    <col min="16128" max="16128" width="1.5703125" style="297" customWidth="1"/>
    <col min="16129" max="16129" width="8.5703125" style="297" customWidth="1"/>
    <col min="16130" max="16130" width="28.7109375" style="297" customWidth="1"/>
    <col min="16131" max="16131" width="26.5703125" style="297" customWidth="1"/>
    <col min="16132" max="16132" width="7.7109375" style="297" customWidth="1"/>
    <col min="16133" max="16133" width="19.42578125" style="297" customWidth="1"/>
    <col min="16134" max="16134" width="44.28515625" style="297" customWidth="1"/>
    <col min="16135" max="16135" width="17" style="297" customWidth="1"/>
    <col min="16136" max="16136" width="15.5703125" style="297" customWidth="1"/>
    <col min="16137" max="16137" width="14.140625" style="297" customWidth="1"/>
    <col min="16138" max="16138" width="1.7109375" style="297" customWidth="1"/>
    <col min="16139" max="16139" width="13.7109375" style="297" customWidth="1"/>
    <col min="16140" max="16140" width="13.85546875" style="297" bestFit="1" customWidth="1"/>
    <col min="16141" max="16141" width="2.5703125" style="297" customWidth="1"/>
    <col min="16142" max="16142" width="12.42578125" style="297" customWidth="1"/>
    <col min="16143" max="16143" width="13.5703125" style="297" customWidth="1"/>
    <col min="16144" max="16144" width="2.5703125" style="297" customWidth="1"/>
    <col min="16145" max="16145" width="12.42578125" style="297" customWidth="1"/>
    <col min="16146" max="16146" width="13.5703125" style="297" customWidth="1"/>
    <col min="16147" max="16147" width="2.5703125" style="297" customWidth="1"/>
    <col min="16148" max="16148" width="11.5703125" style="297" customWidth="1"/>
    <col min="16149" max="16149" width="13" style="297" customWidth="1"/>
    <col min="16150" max="16150" width="1.42578125" style="297" customWidth="1"/>
    <col min="16151" max="16151" width="10.5703125" style="297" customWidth="1"/>
    <col min="16152" max="16384" width="11" style="297"/>
  </cols>
  <sheetData>
    <row r="1" spans="2:23" s="443" customFormat="1" ht="24.75" customHeight="1" x14ac:dyDescent="0.2">
      <c r="B1" s="1024"/>
      <c r="C1" s="1025"/>
      <c r="D1" s="1195" t="s">
        <v>954</v>
      </c>
      <c r="E1" s="1196"/>
      <c r="F1" s="1196" t="s">
        <v>955</v>
      </c>
      <c r="G1" s="1196"/>
      <c r="H1" s="1196"/>
      <c r="I1" s="1196"/>
      <c r="J1" s="1196"/>
      <c r="K1" s="1196"/>
      <c r="L1" s="1196"/>
      <c r="M1" s="1196"/>
      <c r="N1" s="1196"/>
      <c r="O1" s="1196"/>
      <c r="P1" s="1197"/>
      <c r="Q1" s="1194"/>
      <c r="R1" s="1196"/>
      <c r="S1" s="1196"/>
      <c r="T1" s="1196"/>
      <c r="U1" s="1196"/>
      <c r="V1" s="1196"/>
      <c r="W1" s="1198"/>
    </row>
    <row r="2" spans="2:23" s="443" customFormat="1" ht="26.25" customHeight="1" x14ac:dyDescent="0.2">
      <c r="B2" s="1026"/>
      <c r="C2" s="1027"/>
      <c r="D2" s="1200" t="s">
        <v>956</v>
      </c>
      <c r="E2" s="1201"/>
      <c r="F2" s="1201" t="s">
        <v>800</v>
      </c>
      <c r="G2" s="1201"/>
      <c r="H2" s="1201"/>
      <c r="I2" s="1201"/>
      <c r="J2" s="1201"/>
      <c r="K2" s="1201"/>
      <c r="L2" s="1201"/>
      <c r="M2" s="1201"/>
      <c r="N2" s="1201"/>
      <c r="O2" s="1201"/>
      <c r="P2" s="1202"/>
      <c r="Q2" s="1199"/>
      <c r="R2" s="1201"/>
      <c r="S2" s="1201"/>
      <c r="T2" s="1201"/>
      <c r="U2" s="1201"/>
      <c r="V2" s="1201"/>
      <c r="W2" s="1203"/>
    </row>
    <row r="3" spans="2:23" s="443" customFormat="1" ht="30.75" customHeight="1" thickBot="1" x14ac:dyDescent="0.25">
      <c r="B3" s="1028"/>
      <c r="C3" s="1029"/>
      <c r="D3" s="1205" t="s">
        <v>852</v>
      </c>
      <c r="E3" s="1206"/>
      <c r="F3" s="578" t="s">
        <v>960</v>
      </c>
      <c r="G3" s="1272" t="s">
        <v>961</v>
      </c>
      <c r="H3" s="1272"/>
      <c r="I3" s="1272"/>
      <c r="J3" s="1272"/>
      <c r="K3" s="1272"/>
      <c r="L3" s="1272"/>
      <c r="M3" s="1272"/>
      <c r="N3" s="1207" t="s">
        <v>959</v>
      </c>
      <c r="O3" s="1205"/>
      <c r="P3" s="579">
        <v>1</v>
      </c>
      <c r="Q3" s="1204"/>
      <c r="R3" s="1206"/>
      <c r="S3" s="1206"/>
      <c r="T3" s="1206"/>
      <c r="U3" s="1206"/>
      <c r="V3" s="1206"/>
      <c r="W3" s="1208"/>
    </row>
    <row r="4" spans="2:23" ht="18.75" thickBot="1" x14ac:dyDescent="0.25">
      <c r="B4" s="440"/>
      <c r="C4" s="440"/>
      <c r="D4" s="440"/>
      <c r="E4" s="440"/>
      <c r="F4" s="440"/>
      <c r="G4" s="440"/>
      <c r="H4" s="440"/>
      <c r="I4" s="440"/>
      <c r="J4" s="440"/>
      <c r="K4" s="440"/>
      <c r="L4" s="440"/>
      <c r="M4" s="440"/>
      <c r="N4" s="440"/>
      <c r="O4" s="440"/>
      <c r="P4" s="440"/>
      <c r="Q4" s="440"/>
      <c r="R4" s="440"/>
      <c r="S4" s="440"/>
      <c r="T4" s="440"/>
      <c r="U4" s="440"/>
      <c r="V4" s="440"/>
      <c r="W4" s="440"/>
    </row>
    <row r="5" spans="2:23" ht="18.75" customHeight="1" thickBot="1" x14ac:dyDescent="0.25">
      <c r="B5" s="1124" t="s">
        <v>928</v>
      </c>
      <c r="C5" s="1125"/>
      <c r="D5" s="1124" t="s">
        <v>929</v>
      </c>
      <c r="E5" s="1125"/>
      <c r="W5" s="300"/>
    </row>
    <row r="6" spans="2:23" ht="18.75" customHeight="1" x14ac:dyDescent="0.2">
      <c r="B6" s="429" t="s">
        <v>740</v>
      </c>
      <c r="C6" s="301" t="s">
        <v>741</v>
      </c>
      <c r="D6" s="429" t="s">
        <v>740</v>
      </c>
      <c r="E6" s="301" t="s">
        <v>741</v>
      </c>
      <c r="W6" s="300"/>
    </row>
    <row r="7" spans="2:23" ht="18.75" customHeight="1" x14ac:dyDescent="0.2">
      <c r="B7" s="430" t="s">
        <v>778</v>
      </c>
      <c r="C7" s="302" t="s">
        <v>780</v>
      </c>
      <c r="D7" s="430" t="s">
        <v>922</v>
      </c>
      <c r="E7" s="302" t="s">
        <v>780</v>
      </c>
      <c r="F7" s="303"/>
      <c r="G7" s="304"/>
      <c r="I7" s="305"/>
      <c r="W7" s="300"/>
    </row>
    <row r="8" spans="2:23" ht="25.5" x14ac:dyDescent="0.2">
      <c r="B8" s="431" t="s">
        <v>779</v>
      </c>
      <c r="C8" s="302" t="s">
        <v>745</v>
      </c>
      <c r="D8" s="431" t="s">
        <v>923</v>
      </c>
      <c r="E8" s="302" t="s">
        <v>745</v>
      </c>
      <c r="G8" s="304"/>
      <c r="H8" s="306"/>
      <c r="I8" s="305"/>
      <c r="W8" s="307"/>
    </row>
    <row r="9" spans="2:23" ht="25.5" x14ac:dyDescent="0.2">
      <c r="B9" s="432" t="s">
        <v>776</v>
      </c>
      <c r="C9" s="302" t="s">
        <v>747</v>
      </c>
      <c r="D9" s="432" t="s">
        <v>924</v>
      </c>
      <c r="E9" s="302" t="s">
        <v>747</v>
      </c>
      <c r="G9" s="304"/>
      <c r="H9" s="304"/>
      <c r="I9" s="305"/>
      <c r="W9" s="308"/>
    </row>
    <row r="10" spans="2:23" ht="15" x14ac:dyDescent="0.2">
      <c r="B10" s="433" t="s">
        <v>777</v>
      </c>
      <c r="C10" s="302" t="s">
        <v>748</v>
      </c>
      <c r="D10" s="433" t="s">
        <v>925</v>
      </c>
      <c r="E10" s="302" t="s">
        <v>748</v>
      </c>
      <c r="G10" s="304"/>
      <c r="I10" s="305"/>
      <c r="W10" s="308"/>
    </row>
    <row r="11" spans="2:23" ht="15.75" thickBot="1" x14ac:dyDescent="0.25">
      <c r="B11" s="434" t="s">
        <v>749</v>
      </c>
      <c r="C11" s="309" t="s">
        <v>750</v>
      </c>
      <c r="D11" s="435" t="s">
        <v>952</v>
      </c>
      <c r="E11" s="309" t="s">
        <v>750</v>
      </c>
      <c r="W11" s="308"/>
    </row>
    <row r="12" spans="2:23" ht="15" x14ac:dyDescent="0.2">
      <c r="D12" s="310"/>
      <c r="E12" s="310"/>
      <c r="F12" s="310"/>
      <c r="W12" s="308"/>
    </row>
    <row r="13" spans="2:23" ht="19.5" x14ac:dyDescent="0.25">
      <c r="F13" s="413"/>
      <c r="I13" s="603"/>
      <c r="J13" s="603"/>
    </row>
    <row r="14" spans="2:23" ht="19.5" x14ac:dyDescent="0.25">
      <c r="B14" s="1271" t="s">
        <v>1118</v>
      </c>
      <c r="C14" s="1271"/>
      <c r="E14" s="1271" t="s">
        <v>1119</v>
      </c>
      <c r="F14" s="1271"/>
      <c r="I14" s="604"/>
    </row>
    <row r="15" spans="2:23" s="775" customFormat="1" ht="19.5" x14ac:dyDescent="0.25">
      <c r="B15" s="831"/>
      <c r="C15" s="831"/>
      <c r="E15" s="415"/>
      <c r="G15" s="298"/>
      <c r="H15" s="298"/>
      <c r="I15" s="604"/>
      <c r="K15" s="299"/>
      <c r="O15" s="299"/>
      <c r="S15" s="299"/>
    </row>
    <row r="16" spans="2:23" ht="19.5" x14ac:dyDescent="0.25">
      <c r="B16" s="602" t="s">
        <v>1016</v>
      </c>
      <c r="C16" s="415"/>
      <c r="D16" s="603"/>
      <c r="E16" s="602" t="s">
        <v>1016</v>
      </c>
      <c r="G16" s="297"/>
      <c r="H16" s="297"/>
      <c r="K16" s="297"/>
      <c r="O16" s="297"/>
      <c r="S16" s="297"/>
    </row>
    <row r="17" spans="2:19" ht="19.5" x14ac:dyDescent="0.25">
      <c r="B17" s="606" t="s">
        <v>1017</v>
      </c>
      <c r="C17" s="607">
        <f>+'Plan de Accion 2018'!AB168</f>
        <v>17235928559.849998</v>
      </c>
      <c r="D17" s="603"/>
      <c r="E17" s="606" t="s">
        <v>1017</v>
      </c>
      <c r="F17" s="607">
        <f>+'Plan de Accion 2018'!AL166+C17</f>
        <v>35922847995.809998</v>
      </c>
      <c r="G17" s="297"/>
      <c r="H17" s="297"/>
      <c r="K17" s="297"/>
      <c r="O17" s="297"/>
      <c r="S17" s="297"/>
    </row>
    <row r="18" spans="2:19" ht="20.25" thickBot="1" x14ac:dyDescent="0.3">
      <c r="B18" s="606" t="s">
        <v>1018</v>
      </c>
      <c r="C18" s="608">
        <f>+'Plan de Accion 2018'!K167</f>
        <v>123940944854</v>
      </c>
      <c r="D18" s="603"/>
      <c r="E18" s="606" t="s">
        <v>1018</v>
      </c>
      <c r="F18" s="608">
        <f>+'Plan de Accion 2018'!K172</f>
        <v>123940944854</v>
      </c>
      <c r="G18" s="297"/>
      <c r="H18" s="299"/>
      <c r="K18" s="297"/>
      <c r="O18" s="297"/>
    </row>
    <row r="19" spans="2:19" ht="20.25" thickBot="1" x14ac:dyDescent="0.3">
      <c r="C19" s="605">
        <f>+C17/C18</f>
        <v>0.13906565405123855</v>
      </c>
      <c r="D19" s="603"/>
      <c r="F19" s="605">
        <f>+F17/F18</f>
        <v>0.28983842295317669</v>
      </c>
      <c r="G19" s="297"/>
      <c r="H19" s="299"/>
      <c r="K19" s="297"/>
      <c r="O19" s="297"/>
    </row>
    <row r="20" spans="2:19" ht="19.5" x14ac:dyDescent="0.25">
      <c r="C20" s="763"/>
      <c r="D20" s="603"/>
      <c r="F20" s="763"/>
      <c r="G20" s="297"/>
      <c r="H20" s="299"/>
      <c r="K20" s="297"/>
      <c r="O20" s="297"/>
    </row>
    <row r="21" spans="2:19" ht="18" x14ac:dyDescent="0.25">
      <c r="B21" s="602" t="s">
        <v>1019</v>
      </c>
      <c r="E21" s="602" t="s">
        <v>1019</v>
      </c>
      <c r="G21" s="297"/>
      <c r="H21" s="299"/>
      <c r="K21" s="297"/>
      <c r="O21" s="297"/>
    </row>
    <row r="22" spans="2:19" ht="19.5" x14ac:dyDescent="0.25">
      <c r="B22" s="606" t="s">
        <v>1017</v>
      </c>
      <c r="C22" s="607">
        <f>+'Plan de Accion 2018'!AB167</f>
        <v>10741284867605.9</v>
      </c>
      <c r="D22" s="603"/>
      <c r="E22" s="606" t="s">
        <v>1017</v>
      </c>
      <c r="F22" s="607">
        <f>+'Plan de Accion 2018'!AL167+C22</f>
        <v>22444626965916.301</v>
      </c>
      <c r="G22" s="297"/>
      <c r="H22" s="299"/>
      <c r="K22" s="297"/>
      <c r="O22" s="297"/>
    </row>
    <row r="23" spans="2:19" ht="20.25" thickBot="1" x14ac:dyDescent="0.3">
      <c r="B23" s="606" t="s">
        <v>1018</v>
      </c>
      <c r="C23" s="608">
        <f>+'Plan de Accion 2018'!K166</f>
        <v>42726949922000</v>
      </c>
      <c r="D23" s="603"/>
      <c r="E23" s="606" t="s">
        <v>1018</v>
      </c>
      <c r="F23" s="608">
        <f>+'Plan de Accion 2018'!K171</f>
        <v>43128604240962.609</v>
      </c>
      <c r="G23" s="297"/>
      <c r="H23" s="299"/>
      <c r="K23" s="297"/>
      <c r="O23" s="297"/>
    </row>
    <row r="24" spans="2:19" ht="20.25" thickBot="1" x14ac:dyDescent="0.3">
      <c r="C24" s="609">
        <f>+C22/C23</f>
        <v>0.25139367278063629</v>
      </c>
      <c r="D24" s="603"/>
      <c r="F24" s="609">
        <f>+F22/F23</f>
        <v>0.5204116238150569</v>
      </c>
      <c r="G24" s="297"/>
      <c r="H24" s="299"/>
      <c r="K24" s="297"/>
      <c r="O24" s="297"/>
    </row>
    <row r="25" spans="2:19" ht="19.5" x14ac:dyDescent="0.25">
      <c r="C25" s="764"/>
      <c r="D25" s="603"/>
      <c r="F25" s="764"/>
      <c r="G25" s="297"/>
      <c r="H25" s="299"/>
      <c r="K25" s="297"/>
      <c r="O25" s="297"/>
    </row>
    <row r="26" spans="2:19" ht="18" x14ac:dyDescent="0.25">
      <c r="B26" s="602" t="s">
        <v>1020</v>
      </c>
      <c r="E26" s="602" t="s">
        <v>1020</v>
      </c>
      <c r="G26" s="297"/>
      <c r="H26" s="299"/>
      <c r="K26" s="297"/>
      <c r="O26" s="297"/>
    </row>
    <row r="27" spans="2:19" ht="18" x14ac:dyDescent="0.25">
      <c r="B27" s="606" t="s">
        <v>1017</v>
      </c>
      <c r="C27" s="607">
        <f>+C17+C22</f>
        <v>10758520796165.75</v>
      </c>
      <c r="E27" s="606" t="s">
        <v>1017</v>
      </c>
      <c r="F27" s="607">
        <f>+F17+F22</f>
        <v>22480549813912.109</v>
      </c>
      <c r="G27" s="297"/>
      <c r="H27" s="299"/>
      <c r="K27" s="297"/>
      <c r="O27" s="297"/>
    </row>
    <row r="28" spans="2:19" ht="18.75" thickBot="1" x14ac:dyDescent="0.3">
      <c r="B28" s="606" t="s">
        <v>1018</v>
      </c>
      <c r="C28" s="608">
        <f>+C18+C23</f>
        <v>42850890866854</v>
      </c>
      <c r="E28" s="606" t="s">
        <v>1018</v>
      </c>
      <c r="F28" s="608">
        <f>+F18+F23</f>
        <v>43252545185816.609</v>
      </c>
      <c r="G28" s="297"/>
      <c r="H28" s="299"/>
      <c r="K28" s="297"/>
      <c r="O28" s="297"/>
    </row>
    <row r="29" spans="2:19" ht="20.25" thickBot="1" x14ac:dyDescent="0.3">
      <c r="C29" s="609">
        <f>+C27/C28</f>
        <v>0.25106877776694431</v>
      </c>
      <c r="F29" s="609">
        <f>+F27/F28</f>
        <v>0.51975091216791425</v>
      </c>
      <c r="G29" s="297"/>
      <c r="H29" s="299"/>
      <c r="K29" s="297"/>
      <c r="O29" s="297"/>
    </row>
    <row r="30" spans="2:19" x14ac:dyDescent="0.2">
      <c r="F30" s="298"/>
      <c r="H30" s="297"/>
    </row>
  </sheetData>
  <mergeCells count="13">
    <mergeCell ref="Q1:W3"/>
    <mergeCell ref="D2:E2"/>
    <mergeCell ref="F2:P2"/>
    <mergeCell ref="D3:E3"/>
    <mergeCell ref="G3:M3"/>
    <mergeCell ref="N3:O3"/>
    <mergeCell ref="B14:C14"/>
    <mergeCell ref="E14:F14"/>
    <mergeCell ref="B5:C5"/>
    <mergeCell ref="D5:E5"/>
    <mergeCell ref="B1:C3"/>
    <mergeCell ref="D1:E1"/>
    <mergeCell ref="F1:P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G15"/>
  <sheetViews>
    <sheetView topLeftCell="A7" workbookViewId="0">
      <selection activeCell="C16" sqref="C16"/>
    </sheetView>
  </sheetViews>
  <sheetFormatPr baseColWidth="10" defaultRowHeight="15" x14ac:dyDescent="0.25"/>
  <cols>
    <col min="2" max="2" width="11.85546875" bestFit="1" customWidth="1"/>
    <col min="3" max="3" width="32.42578125" customWidth="1"/>
    <col min="4" max="4" width="23.85546875" customWidth="1"/>
    <col min="5" max="5" width="18.85546875" customWidth="1"/>
    <col min="6" max="6" width="19.42578125" customWidth="1"/>
    <col min="7" max="7" width="18.28515625" customWidth="1"/>
  </cols>
  <sheetData>
    <row r="2" spans="1:7" x14ac:dyDescent="0.25">
      <c r="A2" s="1275" t="s">
        <v>964</v>
      </c>
      <c r="B2" s="1275"/>
      <c r="C2" s="1275"/>
      <c r="D2" s="1275"/>
      <c r="E2" s="1275"/>
      <c r="F2" s="1275"/>
      <c r="G2" s="1275"/>
    </row>
    <row r="3" spans="1:7" x14ac:dyDescent="0.25">
      <c r="A3" s="452"/>
      <c r="B3" s="452"/>
      <c r="C3" s="452"/>
      <c r="D3" s="452"/>
      <c r="E3" s="452"/>
      <c r="F3" s="452"/>
      <c r="G3" s="452"/>
    </row>
    <row r="4" spans="1:7" x14ac:dyDescent="0.25">
      <c r="A4" s="453" t="s">
        <v>965</v>
      </c>
      <c r="B4" s="453" t="s">
        <v>966</v>
      </c>
      <c r="C4" s="453" t="s">
        <v>967</v>
      </c>
      <c r="D4" s="453" t="s">
        <v>971</v>
      </c>
      <c r="E4" s="453" t="s">
        <v>968</v>
      </c>
      <c r="F4" s="453" t="s">
        <v>969</v>
      </c>
      <c r="G4" s="453" t="s">
        <v>970</v>
      </c>
    </row>
    <row r="5" spans="1:7" ht="25.5" x14ac:dyDescent="0.25">
      <c r="A5" s="458">
        <v>1</v>
      </c>
      <c r="B5" s="456">
        <v>43131</v>
      </c>
      <c r="C5" s="455" t="s">
        <v>972</v>
      </c>
      <c r="D5" s="455" t="s">
        <v>975</v>
      </c>
      <c r="E5" s="457" t="s">
        <v>973</v>
      </c>
      <c r="F5" s="455" t="s">
        <v>974</v>
      </c>
      <c r="G5" s="455" t="s">
        <v>974</v>
      </c>
    </row>
    <row r="6" spans="1:7" ht="409.5" x14ac:dyDescent="0.25">
      <c r="A6" s="458">
        <v>2</v>
      </c>
      <c r="B6" s="456">
        <v>43242</v>
      </c>
      <c r="C6" s="457" t="s">
        <v>1001</v>
      </c>
      <c r="D6" s="455" t="s">
        <v>980</v>
      </c>
      <c r="E6" s="457" t="s">
        <v>976</v>
      </c>
      <c r="F6" s="457" t="s">
        <v>979</v>
      </c>
      <c r="G6" s="457" t="s">
        <v>979</v>
      </c>
    </row>
    <row r="7" spans="1:7" ht="294" x14ac:dyDescent="0.25">
      <c r="A7" s="1276">
        <v>3</v>
      </c>
      <c r="B7" s="1279">
        <v>43311</v>
      </c>
      <c r="C7" s="837" t="s">
        <v>1206</v>
      </c>
      <c r="D7" s="455" t="s">
        <v>975</v>
      </c>
      <c r="E7" s="457" t="s">
        <v>1120</v>
      </c>
      <c r="F7" s="1280" t="s">
        <v>1121</v>
      </c>
      <c r="G7" s="1283" t="s">
        <v>1122</v>
      </c>
    </row>
    <row r="8" spans="1:7" ht="369.75" x14ac:dyDescent="0.25">
      <c r="A8" s="1277"/>
      <c r="B8" s="1277"/>
      <c r="C8" s="457" t="s">
        <v>1123</v>
      </c>
      <c r="D8" s="455" t="s">
        <v>1124</v>
      </c>
      <c r="E8" s="457" t="s">
        <v>1125</v>
      </c>
      <c r="F8" s="1281"/>
      <c r="G8" s="1284"/>
    </row>
    <row r="9" spans="1:7" ht="178.5" x14ac:dyDescent="0.25">
      <c r="A9" s="1277"/>
      <c r="B9" s="1277"/>
      <c r="C9" s="457" t="s">
        <v>1126</v>
      </c>
      <c r="D9" s="455" t="s">
        <v>1207</v>
      </c>
      <c r="E9" s="457" t="s">
        <v>1127</v>
      </c>
      <c r="F9" s="1281"/>
      <c r="G9" s="1284"/>
    </row>
    <row r="10" spans="1:7" ht="140.25" x14ac:dyDescent="0.25">
      <c r="A10" s="1277"/>
      <c r="B10" s="1277"/>
      <c r="C10" s="457" t="s">
        <v>1128</v>
      </c>
      <c r="D10" s="455" t="s">
        <v>1129</v>
      </c>
      <c r="E10" s="457" t="s">
        <v>1130</v>
      </c>
      <c r="F10" s="1281"/>
      <c r="G10" s="1284"/>
    </row>
    <row r="11" spans="1:7" ht="153" x14ac:dyDescent="0.25">
      <c r="A11" s="1277"/>
      <c r="B11" s="1277"/>
      <c r="C11" s="457" t="s">
        <v>1131</v>
      </c>
      <c r="D11" s="455" t="s">
        <v>1132</v>
      </c>
      <c r="E11" s="457" t="s">
        <v>1133</v>
      </c>
      <c r="F11" s="1281"/>
      <c r="G11" s="1284"/>
    </row>
    <row r="12" spans="1:7" ht="76.5" x14ac:dyDescent="0.25">
      <c r="A12" s="1277"/>
      <c r="B12" s="1277"/>
      <c r="C12" s="457" t="s">
        <v>1134</v>
      </c>
      <c r="D12" s="457" t="s">
        <v>1135</v>
      </c>
      <c r="E12" s="457" t="s">
        <v>1136</v>
      </c>
      <c r="F12" s="1281"/>
      <c r="G12" s="1284"/>
    </row>
    <row r="13" spans="1:7" ht="165.75" x14ac:dyDescent="0.25">
      <c r="A13" s="1278"/>
      <c r="B13" s="1278"/>
      <c r="C13" s="457" t="s">
        <v>1137</v>
      </c>
      <c r="D13" s="457" t="s">
        <v>1138</v>
      </c>
      <c r="E13" s="457" t="s">
        <v>1139</v>
      </c>
      <c r="F13" s="1282"/>
      <c r="G13" s="1285"/>
    </row>
    <row r="14" spans="1:7" ht="127.5" x14ac:dyDescent="0.25">
      <c r="A14" s="1273">
        <v>4</v>
      </c>
      <c r="B14" s="840">
        <v>43312</v>
      </c>
      <c r="C14" s="838" t="s">
        <v>1145</v>
      </c>
      <c r="D14" s="839" t="s">
        <v>1143</v>
      </c>
      <c r="E14" s="838" t="s">
        <v>1140</v>
      </c>
      <c r="F14" s="838" t="s">
        <v>1141</v>
      </c>
      <c r="G14" s="838" t="s">
        <v>1142</v>
      </c>
    </row>
    <row r="15" spans="1:7" ht="409.5" x14ac:dyDescent="0.25">
      <c r="A15" s="1274"/>
      <c r="B15" s="840">
        <v>43329</v>
      </c>
      <c r="C15" s="913" t="s">
        <v>1218</v>
      </c>
      <c r="D15" s="457" t="s">
        <v>1205</v>
      </c>
      <c r="E15" s="457" t="s">
        <v>976</v>
      </c>
      <c r="F15" s="457" t="s">
        <v>1204</v>
      </c>
      <c r="G15" s="457" t="s">
        <v>1204</v>
      </c>
    </row>
  </sheetData>
  <mergeCells count="6">
    <mergeCell ref="A14:A15"/>
    <mergeCell ref="A2:G2"/>
    <mergeCell ref="A7:A13"/>
    <mergeCell ref="B7:B13"/>
    <mergeCell ref="F7:F13"/>
    <mergeCell ref="G7:G1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A167"/>
  <sheetViews>
    <sheetView showGridLines="0" zoomScale="60" zoomScaleNormal="60" workbookViewId="0">
      <pane ySplit="7" topLeftCell="A8" activePane="bottomLeft" state="frozen"/>
      <selection pane="bottomLeft" activeCell="H9" sqref="H9"/>
    </sheetView>
  </sheetViews>
  <sheetFormatPr baseColWidth="10" defaultRowHeight="15" x14ac:dyDescent="0.25"/>
  <cols>
    <col min="1" max="1" width="23.28515625" bestFit="1" customWidth="1"/>
    <col min="2" max="2" width="35.5703125" customWidth="1"/>
    <col min="3" max="3" width="16.5703125" customWidth="1"/>
    <col min="4" max="4" width="40.5703125" customWidth="1"/>
    <col min="5" max="5" width="12.85546875" customWidth="1"/>
    <col min="6" max="6" width="35.7109375" customWidth="1"/>
    <col min="7" max="7" width="12.85546875" style="160" customWidth="1"/>
    <col min="8" max="8" width="12.140625"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hidden="1" customWidth="1"/>
    <col min="25" max="25" width="35.7109375" style="146" hidden="1" customWidth="1"/>
    <col min="26" max="26" width="27.7109375" style="146" hidden="1" customWidth="1"/>
    <col min="27" max="27" width="13.5703125" style="146" hidden="1" customWidth="1"/>
    <col min="28" max="28" width="27.7109375" style="146" hidden="1" customWidth="1"/>
    <col min="29" max="29" width="11.42578125" style="146" hidden="1" customWidth="1"/>
    <col min="30" max="30" width="15.7109375" style="146" hidden="1" customWidth="1"/>
    <col min="31" max="31" width="11.42578125" style="146" hidden="1" customWidth="1"/>
    <col min="32" max="32" width="15.7109375" style="146" hidden="1" customWidth="1"/>
    <col min="33" max="33" width="13.7109375" style="146" hidden="1" customWidth="1"/>
    <col min="34" max="34" width="35.7109375" style="146" hidden="1" customWidth="1"/>
    <col min="35" max="35" width="27.7109375" style="146" hidden="1" customWidth="1"/>
    <col min="36" max="36" width="17.140625" style="146" hidden="1" customWidth="1"/>
    <col min="37" max="37" width="27.7109375" style="146" hidden="1" customWidth="1"/>
    <col min="38" max="38" width="13.7109375" style="146" hidden="1" customWidth="1"/>
    <col min="39" max="39" width="15.7109375" style="146" hidden="1" customWidth="1"/>
    <col min="40" max="40" width="13.7109375" style="146" hidden="1" customWidth="1"/>
    <col min="41" max="41" width="15.7109375" style="146" hidden="1" customWidth="1"/>
    <col min="42" max="42" width="13.7109375" style="146" hidden="1" customWidth="1"/>
    <col min="43" max="43" width="35.7109375" style="146" hidden="1" customWidth="1"/>
    <col min="44" max="44" width="27.7109375" style="146" hidden="1" customWidth="1"/>
    <col min="45" max="45" width="18" style="146" hidden="1" customWidth="1"/>
    <col min="46" max="46" width="27.7109375" style="146" hidden="1" customWidth="1"/>
    <col min="47" max="47" width="13.7109375" style="146" hidden="1" customWidth="1"/>
    <col min="48" max="48" width="15.7109375" style="146" hidden="1" customWidth="1"/>
    <col min="49" max="49" width="13.7109375" style="146" hidden="1" customWidth="1"/>
    <col min="50" max="50" width="15.7109375" style="146" hidden="1" customWidth="1"/>
    <col min="51" max="51" width="13.7109375" style="146" hidden="1" customWidth="1"/>
    <col min="52" max="52" width="35.7109375" style="146" hidden="1" customWidth="1"/>
    <col min="53" max="53" width="27.7109375" style="146" hidden="1" customWidth="1"/>
    <col min="54" max="54" width="13.7109375" style="146" hidden="1" customWidth="1"/>
    <col min="55" max="55" width="27.7109375" style="146" hidden="1" customWidth="1"/>
    <col min="56" max="56" width="13.7109375" style="146" hidden="1" customWidth="1"/>
    <col min="57" max="57" width="15.7109375" style="146" hidden="1" customWidth="1"/>
    <col min="58" max="58" width="13.7109375" style="146" hidden="1" customWidth="1"/>
    <col min="59" max="59" width="15.7109375" style="146" hidden="1" customWidth="1"/>
    <col min="60" max="60" width="13.7109375" style="146" hidden="1" customWidth="1"/>
    <col min="61" max="61" width="15.7109375" style="146" hidden="1" customWidth="1"/>
    <col min="62" max="62" width="13.7109375" style="146" hidden="1" customWidth="1"/>
    <col min="63" max="63" width="15.7109375" style="146" hidden="1" customWidth="1"/>
    <col min="64" max="64" width="13.7109375" style="146" hidden="1" customWidth="1"/>
    <col min="65" max="65" width="15.7109375" style="146" hidden="1" customWidth="1"/>
    <col min="66" max="66" width="13.7109375" style="146" hidden="1" customWidth="1"/>
    <col min="67" max="67" width="15.7109375" style="146" hidden="1" customWidth="1"/>
    <col min="68" max="68" width="40.85546875" style="146" hidden="1" customWidth="1"/>
    <col min="69" max="69" width="16.5703125" style="146" customWidth="1"/>
    <col min="70" max="70" width="15.28515625" style="146" customWidth="1"/>
    <col min="71" max="71" width="35.7109375" style="146" customWidth="1"/>
    <col min="72" max="72" width="28" style="146" customWidth="1"/>
    <col min="73" max="73" width="17.85546875" style="146" customWidth="1"/>
    <col min="74" max="74" width="29.140625" style="146" customWidth="1"/>
    <col min="75" max="75" width="14.140625" style="146" customWidth="1"/>
    <col min="76" max="77" width="16.140625" style="146" customWidth="1"/>
    <col min="78" max="78" width="15" style="146" customWidth="1"/>
    <col min="79" max="16384" width="11.42578125" style="146"/>
  </cols>
  <sheetData>
    <row r="1" spans="1:235" x14ac:dyDescent="0.25">
      <c r="J1" s="146"/>
      <c r="K1" s="147"/>
      <c r="L1" s="146"/>
      <c r="M1" s="148"/>
      <c r="N1" s="149"/>
      <c r="O1" s="150"/>
      <c r="P1" s="147"/>
    </row>
    <row r="2" spans="1:235" x14ac:dyDescent="0.25">
      <c r="J2" s="146"/>
      <c r="K2" s="147"/>
      <c r="L2" s="147"/>
      <c r="M2" s="151"/>
      <c r="N2" s="151"/>
      <c r="O2" s="151"/>
      <c r="P2" s="146"/>
    </row>
    <row r="3" spans="1:235" ht="15.75" x14ac:dyDescent="0.25">
      <c r="D3" s="178" t="s">
        <v>126</v>
      </c>
      <c r="E3" s="178"/>
      <c r="F3" s="178"/>
      <c r="G3" s="178"/>
      <c r="H3" s="178"/>
      <c r="I3" s="178"/>
      <c r="J3" s="178"/>
      <c r="K3" s="178"/>
      <c r="L3" s="178"/>
      <c r="M3" s="178"/>
      <c r="N3" s="146"/>
      <c r="O3" s="147"/>
      <c r="P3" s="146"/>
    </row>
    <row r="4" spans="1:235" ht="15.75" x14ac:dyDescent="0.25">
      <c r="D4" s="178" t="s">
        <v>125</v>
      </c>
      <c r="E4" s="178"/>
      <c r="F4" s="178"/>
      <c r="G4" s="178"/>
      <c r="H4" s="178"/>
      <c r="I4" s="178"/>
      <c r="J4" s="178"/>
      <c r="K4" s="178"/>
      <c r="L4" s="178"/>
      <c r="M4" s="178"/>
    </row>
    <row r="5" spans="1:235" ht="16.5" thickBot="1" x14ac:dyDescent="0.3">
      <c r="D5" s="1050" t="s">
        <v>766</v>
      </c>
      <c r="E5" s="1050"/>
      <c r="F5" s="1050"/>
      <c r="G5" s="1050"/>
      <c r="H5" s="1050"/>
      <c r="I5" s="1050"/>
      <c r="J5" s="1050"/>
      <c r="K5" s="1050"/>
      <c r="L5" s="1050"/>
      <c r="M5" s="1050"/>
      <c r="O5" s="48"/>
    </row>
    <row r="6" spans="1:235" ht="16.5" thickBot="1" x14ac:dyDescent="0.3">
      <c r="A6" s="173"/>
      <c r="B6" s="173"/>
      <c r="C6" s="173"/>
      <c r="D6" s="275"/>
      <c r="E6" s="275"/>
      <c r="F6" s="275"/>
      <c r="G6" s="276"/>
      <c r="H6" s="275"/>
      <c r="I6" s="275"/>
      <c r="J6" s="275"/>
      <c r="K6" s="275"/>
      <c r="L6" s="275"/>
      <c r="M6" s="275"/>
      <c r="N6" s="264"/>
      <c r="O6" s="173"/>
      <c r="P6" s="173"/>
      <c r="Q6" s="173"/>
      <c r="R6" s="173"/>
      <c r="S6" s="173"/>
      <c r="T6" s="173"/>
      <c r="U6" s="173"/>
      <c r="V6" s="173"/>
      <c r="W6" s="173"/>
      <c r="X6" s="1342" t="s">
        <v>771</v>
      </c>
      <c r="Y6" s="1343"/>
      <c r="Z6" s="1343"/>
      <c r="AA6" s="1343"/>
      <c r="AB6" s="1343"/>
      <c r="AC6" s="1343"/>
      <c r="AD6" s="1343"/>
      <c r="AE6" s="1343"/>
      <c r="AF6" s="1344"/>
      <c r="AG6" s="1345" t="s">
        <v>773</v>
      </c>
      <c r="AH6" s="1346"/>
      <c r="AI6" s="1346"/>
      <c r="AJ6" s="1346"/>
      <c r="AK6" s="1346"/>
      <c r="AL6" s="1346"/>
      <c r="AM6" s="1346"/>
      <c r="AN6" s="1346"/>
      <c r="AO6" s="1347"/>
      <c r="AP6" s="1342" t="s">
        <v>772</v>
      </c>
      <c r="AQ6" s="1343"/>
      <c r="AR6" s="1343"/>
      <c r="AS6" s="1343"/>
      <c r="AT6" s="1343"/>
      <c r="AU6" s="1343"/>
      <c r="AV6" s="1343"/>
      <c r="AW6" s="1343"/>
      <c r="AX6" s="1344"/>
      <c r="AY6" s="1345" t="s">
        <v>774</v>
      </c>
      <c r="AZ6" s="1346"/>
      <c r="BA6" s="1346"/>
      <c r="BB6" s="1346"/>
      <c r="BC6" s="1346"/>
      <c r="BD6" s="1346"/>
      <c r="BE6" s="1346"/>
      <c r="BF6" s="1346"/>
      <c r="BG6" s="1347"/>
      <c r="BH6" s="1021" t="s">
        <v>775</v>
      </c>
      <c r="BI6" s="1022"/>
      <c r="BJ6" s="1022"/>
      <c r="BK6" s="1022"/>
      <c r="BL6" s="1022"/>
      <c r="BM6" s="1022"/>
      <c r="BN6" s="1022"/>
      <c r="BO6" s="1023"/>
      <c r="BP6" s="265"/>
      <c r="BQ6" s="265"/>
      <c r="BR6" s="1018" t="s">
        <v>848</v>
      </c>
      <c r="BS6" s="1019"/>
      <c r="BT6" s="1019"/>
      <c r="BU6" s="1019"/>
      <c r="BV6" s="1019"/>
      <c r="BW6" s="1019"/>
      <c r="BX6" s="1019"/>
      <c r="BY6" s="1019"/>
      <c r="BZ6" s="1020"/>
    </row>
    <row r="7" spans="1:235" ht="36.75" thickBot="1" x14ac:dyDescent="0.3">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849</v>
      </c>
      <c r="BR7" s="170" t="s">
        <v>16</v>
      </c>
      <c r="BS7" s="170" t="s">
        <v>120</v>
      </c>
      <c r="BT7" s="170" t="s">
        <v>569</v>
      </c>
      <c r="BU7" s="170" t="s">
        <v>16</v>
      </c>
      <c r="BV7" s="170" t="s">
        <v>569</v>
      </c>
      <c r="BW7" s="170" t="s">
        <v>15</v>
      </c>
      <c r="BX7" s="170" t="s">
        <v>20</v>
      </c>
      <c r="BY7" s="170" t="s">
        <v>15</v>
      </c>
      <c r="BZ7" s="170" t="s">
        <v>20</v>
      </c>
    </row>
    <row r="8" spans="1:235" s="153" customFormat="1" ht="57" x14ac:dyDescent="0.25">
      <c r="A8" s="179">
        <v>11200</v>
      </c>
      <c r="B8" s="180" t="s">
        <v>3</v>
      </c>
      <c r="C8" s="181" t="s">
        <v>291</v>
      </c>
      <c r="D8" s="180" t="s">
        <v>153</v>
      </c>
      <c r="E8" s="182" t="s">
        <v>818</v>
      </c>
      <c r="F8" s="180" t="s">
        <v>133</v>
      </c>
      <c r="G8" s="183" t="s">
        <v>124</v>
      </c>
      <c r="H8" s="182">
        <v>4</v>
      </c>
      <c r="I8" s="182" t="s">
        <v>292</v>
      </c>
      <c r="J8" s="180" t="s">
        <v>24</v>
      </c>
      <c r="K8" s="184">
        <v>0</v>
      </c>
      <c r="L8" s="185">
        <v>1</v>
      </c>
      <c r="M8" s="180" t="s">
        <v>51</v>
      </c>
      <c r="N8" s="180" t="s">
        <v>68</v>
      </c>
      <c r="O8" s="180" t="s">
        <v>21</v>
      </c>
      <c r="P8" s="180" t="s">
        <v>36</v>
      </c>
      <c r="Q8" s="180" t="s">
        <v>75</v>
      </c>
      <c r="R8" s="180" t="s">
        <v>631</v>
      </c>
      <c r="S8" s="180" t="s">
        <v>98</v>
      </c>
      <c r="T8" s="182">
        <v>4</v>
      </c>
      <c r="U8" s="180" t="str">
        <f>+J8</f>
        <v>Reportar el cumplimiento del Plan de Acción de la Dependencia</v>
      </c>
      <c r="V8" s="186">
        <f>+K8</f>
        <v>0</v>
      </c>
      <c r="W8" s="187" t="s">
        <v>117</v>
      </c>
      <c r="X8" s="188">
        <v>1</v>
      </c>
      <c r="Y8" s="180" t="s">
        <v>24</v>
      </c>
      <c r="Z8" s="184">
        <v>0</v>
      </c>
      <c r="AA8" s="189"/>
      <c r="AB8" s="187"/>
      <c r="AC8" s="190">
        <f>+(AA8/X8)</f>
        <v>0</v>
      </c>
      <c r="AD8" s="190" t="e">
        <f>+(AB8/Z8)</f>
        <v>#DIV/0!</v>
      </c>
      <c r="AE8" s="190">
        <f>+(AA8/T8)</f>
        <v>0</v>
      </c>
      <c r="AF8" s="190" t="e">
        <f>+(AB8/V8)</f>
        <v>#DIV/0!</v>
      </c>
      <c r="AG8" s="188">
        <v>1</v>
      </c>
      <c r="AH8" s="180" t="s">
        <v>24</v>
      </c>
      <c r="AI8" s="184">
        <v>0</v>
      </c>
      <c r="AJ8" s="189">
        <v>0</v>
      </c>
      <c r="AK8" s="189"/>
      <c r="AL8" s="190">
        <f>+(AJ8/AG8)</f>
        <v>0</v>
      </c>
      <c r="AM8" s="190" t="e">
        <f>+(AK8/AI8)</f>
        <v>#DIV/0!</v>
      </c>
      <c r="AN8" s="190">
        <f>+(AJ8+AA8)/T8</f>
        <v>0</v>
      </c>
      <c r="AO8" s="190" t="e">
        <f>+(AK8+AB8)/V8</f>
        <v>#DIV/0!</v>
      </c>
      <c r="AP8" s="188">
        <v>1</v>
      </c>
      <c r="AQ8" s="180" t="s">
        <v>24</v>
      </c>
      <c r="AR8" s="184">
        <v>0</v>
      </c>
      <c r="AS8" s="189"/>
      <c r="AT8" s="189"/>
      <c r="AU8" s="190">
        <f>+(AS8/AP8)</f>
        <v>0</v>
      </c>
      <c r="AV8" s="190" t="e">
        <f>+(AT8/AR8)</f>
        <v>#DIV/0!</v>
      </c>
      <c r="AW8" s="190">
        <f>+(AJ8+AA8+AS8)/T8</f>
        <v>0</v>
      </c>
      <c r="AX8" s="190" t="e">
        <f>+(AK8+AB8+AT8)/V8</f>
        <v>#DIV/0!</v>
      </c>
      <c r="AY8" s="188">
        <v>1</v>
      </c>
      <c r="AZ8" s="180" t="s">
        <v>24</v>
      </c>
      <c r="BA8" s="184">
        <v>0</v>
      </c>
      <c r="BB8" s="189"/>
      <c r="BC8" s="189"/>
      <c r="BD8" s="190">
        <f>+(BB8/AY8)</f>
        <v>0</v>
      </c>
      <c r="BE8" s="190" t="e">
        <f>+(BC8/BA8)</f>
        <v>#DIV/0!</v>
      </c>
      <c r="BF8" s="190">
        <f>+(AJ8+AA8+AS8+BB8)/T8</f>
        <v>0</v>
      </c>
      <c r="BG8" s="190" t="e">
        <f>+(AK8+AB8+AT8+BC8)/V8</f>
        <v>#DIV/0!</v>
      </c>
      <c r="BH8" s="191">
        <f>IF(AND(X8=0,AA8=0),"No Prog ni Ejec",IF(X8=0,CONCATENATE("No Prog, Ejec=  ",AA8),AA8/X8))</f>
        <v>0</v>
      </c>
      <c r="BI8" s="191" t="str">
        <f>IF(AND(Z8=0,AB8=0),"No Prog ni Ejec",IF(Z8=0,CONCATENATE("No Prog, Ejec=  ",AB8),AB8/Z8))</f>
        <v>No Prog ni Ejec</v>
      </c>
      <c r="BJ8" s="191">
        <f>IF(AND(AG8=0,AJ8=0),"No Prog ni Ejec",IF(AG8=0,CONCATENATE("No Prog, Ejec=  ",AJ8),AJ8/AG8))</f>
        <v>0</v>
      </c>
      <c r="BK8" s="191" t="str">
        <f>IF(AND(AI8=0,AK8=0),"No Prog ni Ejec",IF(AI8=0,CONCATENATE("No Prog, Ejec=  ",AK8),AK8/AI8))</f>
        <v>No Prog ni Ejec</v>
      </c>
      <c r="BL8" s="191">
        <f>IF(AND(AP8=0,AS8=0),"No Prog ni Ejec",IF(AP8=0,CONCATENATE("No Prog, Ejec=  ",AS8),AS8/AP8))</f>
        <v>0</v>
      </c>
      <c r="BM8" s="191" t="str">
        <f>IF(AND(AR8=0,AT8=0),"No Prog ni Ejec",IF(AR8=0,CONCATENATE("No Prog, Ejec=  ",AT8),AT8/AR8))</f>
        <v>No Prog ni Ejec</v>
      </c>
      <c r="BN8" s="191">
        <f>IF(AND(AY8=0,BB8=0),"No Prog ni Ejec",IF(AY8=0,CONCATENATE("No Prog, Ejec=  ",BB8),BB8/AY8))</f>
        <v>0</v>
      </c>
      <c r="BO8" s="191" t="str">
        <f>IF(AND(BA8=0,BC8=0),"No Prog ni Ejec",IF(BA8=0,CONCATENATE("No Prog, Ejec=  ",BC8),BC8/BA8))</f>
        <v>No Prog ni Ejec</v>
      </c>
      <c r="BP8" s="192"/>
      <c r="BQ8" s="277">
        <v>5</v>
      </c>
      <c r="BR8" s="193">
        <f>+(X8+AG8)</f>
        <v>2</v>
      </c>
      <c r="BS8" s="194" t="str">
        <f>+U8</f>
        <v>Reportar el cumplimiento del Plan de Acción de la Dependencia</v>
      </c>
      <c r="BT8" s="195">
        <f>+(Z8+AI8+(AR8/3))</f>
        <v>0</v>
      </c>
      <c r="BU8" s="196"/>
      <c r="BV8" s="196"/>
      <c r="BW8" s="196"/>
      <c r="BX8" s="196"/>
      <c r="BY8" s="196"/>
      <c r="BZ8" s="19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99.75" x14ac:dyDescent="0.25">
      <c r="A9" s="197">
        <v>11200</v>
      </c>
      <c r="B9" s="194" t="s">
        <v>3</v>
      </c>
      <c r="C9" s="198" t="s">
        <v>152</v>
      </c>
      <c r="D9" s="194" t="s">
        <v>256</v>
      </c>
      <c r="E9" s="1309" t="s">
        <v>154</v>
      </c>
      <c r="F9" s="1319" t="s">
        <v>149</v>
      </c>
      <c r="G9" s="199" t="s">
        <v>124</v>
      </c>
      <c r="H9" s="200"/>
      <c r="I9" s="1309" t="s">
        <v>155</v>
      </c>
      <c r="J9" s="1319" t="s">
        <v>148</v>
      </c>
      <c r="K9" s="1313">
        <v>500000000</v>
      </c>
      <c r="L9" s="1336">
        <v>1</v>
      </c>
      <c r="M9" s="1319" t="s">
        <v>48</v>
      </c>
      <c r="N9" s="1319" t="s">
        <v>62</v>
      </c>
      <c r="O9" s="1319" t="s">
        <v>37</v>
      </c>
      <c r="P9" s="1319" t="s">
        <v>40</v>
      </c>
      <c r="Q9" s="1319" t="s">
        <v>227</v>
      </c>
      <c r="R9" s="201" t="s">
        <v>841</v>
      </c>
      <c r="S9" s="194" t="s">
        <v>99</v>
      </c>
      <c r="T9" s="202"/>
      <c r="U9" s="1321" t="str">
        <f>+J9</f>
        <v>Diseño y ejecución de estrategias de campaña Marketing para la ADRES.</v>
      </c>
      <c r="V9" s="1307">
        <f>+K9</f>
        <v>500000000</v>
      </c>
      <c r="W9" s="1350" t="s">
        <v>114</v>
      </c>
      <c r="X9" s="278"/>
      <c r="Y9" s="1319" t="s">
        <v>148</v>
      </c>
      <c r="Z9" s="1313">
        <v>150000000</v>
      </c>
      <c r="AA9" s="279"/>
      <c r="AB9" s="1315"/>
      <c r="AC9" s="280" t="e">
        <f>+(AA9/X9)</f>
        <v>#DIV/0!</v>
      </c>
      <c r="AD9" s="1325">
        <f>+(AB9/Z9)</f>
        <v>0</v>
      </c>
      <c r="AE9" s="280" t="e">
        <f t="shared" ref="AE9:AE74" si="0">+(AA9/T9)</f>
        <v>#DIV/0!</v>
      </c>
      <c r="AF9" s="1325">
        <f t="shared" ref="AF9:AF74" si="1">+(AB9/V9)</f>
        <v>0</v>
      </c>
      <c r="AG9" s="278"/>
      <c r="AH9" s="1319" t="s">
        <v>148</v>
      </c>
      <c r="AI9" s="1313">
        <v>150000000</v>
      </c>
      <c r="AJ9" s="279"/>
      <c r="AK9" s="1315"/>
      <c r="AL9" s="280" t="e">
        <f>+(AJ9/AG9)</f>
        <v>#DIV/0!</v>
      </c>
      <c r="AM9" s="1325">
        <f t="shared" ref="AM9:AM74" si="2">+(AK9/AI9)</f>
        <v>0</v>
      </c>
      <c r="AN9" s="280" t="e">
        <f t="shared" ref="AN9:AN74" si="3">+(AJ9+AA9)/T9</f>
        <v>#DIV/0!</v>
      </c>
      <c r="AO9" s="1325">
        <f t="shared" ref="AO9:AO74" si="4">+(AK9+AB9)/V9</f>
        <v>0</v>
      </c>
      <c r="AP9" s="278"/>
      <c r="AQ9" s="1319" t="s">
        <v>148</v>
      </c>
      <c r="AR9" s="1313">
        <v>150000000</v>
      </c>
      <c r="AS9" s="279"/>
      <c r="AT9" s="1315"/>
      <c r="AU9" s="280" t="e">
        <f>+(AS9/AP9)</f>
        <v>#DIV/0!</v>
      </c>
      <c r="AV9" s="1325">
        <f>+(AT9/AR9)</f>
        <v>0</v>
      </c>
      <c r="AW9" s="280" t="e">
        <f>+(AJ9+AA9+AS9)/T9</f>
        <v>#DIV/0!</v>
      </c>
      <c r="AX9" s="1325">
        <f>+(AK9+AB9+AT9)/V9</f>
        <v>0</v>
      </c>
      <c r="AY9" s="278"/>
      <c r="AZ9" s="1319" t="s">
        <v>148</v>
      </c>
      <c r="BA9" s="1313">
        <v>50000000</v>
      </c>
      <c r="BB9" s="279"/>
      <c r="BC9" s="1315"/>
      <c r="BD9" s="280" t="e">
        <f t="shared" ref="BD9" si="5">+(BB9/AY9)</f>
        <v>#DIV/0!</v>
      </c>
      <c r="BE9" s="1325">
        <f t="shared" ref="BE9" si="6">+(BC9/BA9)</f>
        <v>0</v>
      </c>
      <c r="BF9" s="280" t="e">
        <f>+(AJ9+AA9+AS9+BB9)/T9</f>
        <v>#DIV/0!</v>
      </c>
      <c r="BG9" s="1325">
        <f>+(AK9+AB9+AT9+BC9)/V9</f>
        <v>0</v>
      </c>
      <c r="BH9" s="205" t="str">
        <f t="shared" ref="BH9:BH74" si="7">IF(AND(X9=0,AA9=0),"No Prog ni Ejec",IF(X9=0,CONCATENATE("No Prog, Ejec=  ",AA9),AA9/X9))</f>
        <v>No Prog ni Ejec</v>
      </c>
      <c r="BI9" s="1339">
        <f t="shared" ref="BI9:BI74" si="8">IF(AND(Z9=0,AB9=0),"No Prog ni Ejec",IF(Z9=0,CONCATENATE("No Prog, Ejec=  ",AB9),AB9/Z9))</f>
        <v>0</v>
      </c>
      <c r="BJ9" s="205" t="str">
        <f t="shared" ref="BJ9:BJ74" si="9">IF(AND(AG9=0,AJ9=0),"No Prog ni Ejec",IF(AG9=0,CONCATENATE("No Prog, Ejec=  ",AJ9),AJ9/AG9))</f>
        <v>No Prog ni Ejec</v>
      </c>
      <c r="BK9" s="1339">
        <f t="shared" ref="BK9:BK74" si="10">IF(AND(AI9=0,AK9=0),"No Prog ni Ejec",IF(AI9=0,CONCATENATE("No Prog, Ejec=  ",AK9),AK9/AI9))</f>
        <v>0</v>
      </c>
      <c r="BL9" s="205" t="str">
        <f>IF(AND(AP9=0,AS9=0),"No Prog ni Ejec",IF(AP9=0,CONCATENATE("No Prog, Ejec=  ",AS9),AS9/AP9))</f>
        <v>No Prog ni Ejec</v>
      </c>
      <c r="BM9" s="1339">
        <f>IF(AND(AR9=0,AT9=0),"No Prog ni Ejec",IF(AR9=0,CONCATENATE("No Prog, Ejec=  ",AT9),AT9/AR9))</f>
        <v>0</v>
      </c>
      <c r="BN9" s="205" t="str">
        <f t="shared" ref="BN9:BN74" si="11">IF(AND(AY9=0,BB9=0),"No Prog ni Ejec",IF(AY9=0,CONCATENATE("No Prog, Ejec=  ",BB9),BB9/AY9))</f>
        <v>No Prog ni Ejec</v>
      </c>
      <c r="BO9" s="1339">
        <f t="shared" ref="BO9:BO74" si="12">IF(AND(BA9=0,BC9=0),"No Prog ni Ejec",IF(BA9=0,CONCATENATE("No Prog, Ejec=  ",BC9),BC9/BA9))</f>
        <v>0</v>
      </c>
      <c r="BP9" s="206"/>
      <c r="BQ9" s="277">
        <v>6</v>
      </c>
      <c r="BR9" s="193">
        <f>+(X9+AG9+(AP9/3))</f>
        <v>0</v>
      </c>
      <c r="BS9" s="1299" t="str">
        <f>+U9</f>
        <v>Diseño y ejecución de estrategias de campaña Marketing para la ADRES.</v>
      </c>
      <c r="BT9" s="195">
        <f>+(Z9+AI9+(AR9/3))</f>
        <v>350000000</v>
      </c>
      <c r="BU9" s="196"/>
      <c r="BV9" s="196"/>
      <c r="BW9" s="196"/>
      <c r="BX9" s="196"/>
      <c r="BY9" s="196"/>
      <c r="BZ9" s="19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99.75" x14ac:dyDescent="0.25">
      <c r="A10" s="197">
        <v>11200</v>
      </c>
      <c r="B10" s="194" t="s">
        <v>3</v>
      </c>
      <c r="C10" s="198" t="s">
        <v>152</v>
      </c>
      <c r="D10" s="194" t="s">
        <v>256</v>
      </c>
      <c r="E10" s="1335"/>
      <c r="F10" s="1332"/>
      <c r="G10" s="199"/>
      <c r="H10" s="200"/>
      <c r="I10" s="1335"/>
      <c r="J10" s="1332"/>
      <c r="K10" s="1333"/>
      <c r="L10" s="1337"/>
      <c r="M10" s="1332"/>
      <c r="N10" s="1332"/>
      <c r="O10" s="1332"/>
      <c r="P10" s="1332"/>
      <c r="Q10" s="1332"/>
      <c r="R10" s="201" t="s">
        <v>842</v>
      </c>
      <c r="S10" s="194" t="s">
        <v>99</v>
      </c>
      <c r="T10" s="202"/>
      <c r="U10" s="1348"/>
      <c r="V10" s="1349"/>
      <c r="W10" s="1351"/>
      <c r="X10" s="203"/>
      <c r="Y10" s="1332"/>
      <c r="Z10" s="1333"/>
      <c r="AA10" s="196"/>
      <c r="AB10" s="1334"/>
      <c r="AC10" s="204"/>
      <c r="AD10" s="1331"/>
      <c r="AE10" s="204"/>
      <c r="AF10" s="1331"/>
      <c r="AG10" s="203"/>
      <c r="AH10" s="1332"/>
      <c r="AI10" s="1333"/>
      <c r="AJ10" s="196"/>
      <c r="AK10" s="1334"/>
      <c r="AL10" s="204"/>
      <c r="AM10" s="1331"/>
      <c r="AN10" s="204"/>
      <c r="AO10" s="1331"/>
      <c r="AP10" s="203"/>
      <c r="AQ10" s="1332"/>
      <c r="AR10" s="1333"/>
      <c r="AS10" s="196"/>
      <c r="AT10" s="1334"/>
      <c r="AU10" s="204"/>
      <c r="AV10" s="1331"/>
      <c r="AW10" s="204"/>
      <c r="AX10" s="1331"/>
      <c r="AY10" s="203"/>
      <c r="AZ10" s="1332"/>
      <c r="BA10" s="1333"/>
      <c r="BB10" s="196"/>
      <c r="BC10" s="1334"/>
      <c r="BD10" s="204"/>
      <c r="BE10" s="1331"/>
      <c r="BF10" s="204"/>
      <c r="BG10" s="1331"/>
      <c r="BH10" s="207"/>
      <c r="BI10" s="1340"/>
      <c r="BJ10" s="207"/>
      <c r="BK10" s="1340"/>
      <c r="BL10" s="207"/>
      <c r="BM10" s="1340"/>
      <c r="BN10" s="207"/>
      <c r="BO10" s="1340"/>
      <c r="BP10" s="206"/>
      <c r="BQ10" s="277">
        <v>6</v>
      </c>
      <c r="BR10" s="208">
        <f>+(X10+AG10+(AP10/3))</f>
        <v>0</v>
      </c>
      <c r="BS10" s="1299"/>
      <c r="BT10" s="195">
        <f t="shared" ref="BT10:BT73" si="13">+(Z10+AI10+(AR10/3))</f>
        <v>0</v>
      </c>
      <c r="BU10" s="196"/>
      <c r="BV10" s="196"/>
      <c r="BW10" s="196"/>
      <c r="BX10" s="196"/>
      <c r="BY10" s="196"/>
      <c r="BZ10" s="19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99.75" x14ac:dyDescent="0.25">
      <c r="A11" s="197">
        <v>11200</v>
      </c>
      <c r="B11" s="194" t="s">
        <v>3</v>
      </c>
      <c r="C11" s="198" t="s">
        <v>152</v>
      </c>
      <c r="D11" s="194" t="s">
        <v>256</v>
      </c>
      <c r="E11" s="1310"/>
      <c r="F11" s="1320"/>
      <c r="G11" s="199"/>
      <c r="H11" s="200"/>
      <c r="I11" s="1310"/>
      <c r="J11" s="1320"/>
      <c r="K11" s="1314"/>
      <c r="L11" s="1338"/>
      <c r="M11" s="1320"/>
      <c r="N11" s="1320"/>
      <c r="O11" s="1320"/>
      <c r="P11" s="1320"/>
      <c r="Q11" s="1320"/>
      <c r="R11" s="201" t="s">
        <v>843</v>
      </c>
      <c r="S11" s="194" t="s">
        <v>99</v>
      </c>
      <c r="T11" s="202"/>
      <c r="U11" s="1322"/>
      <c r="V11" s="1308"/>
      <c r="W11" s="1352"/>
      <c r="X11" s="203"/>
      <c r="Y11" s="1320"/>
      <c r="Z11" s="1314"/>
      <c r="AA11" s="196"/>
      <c r="AB11" s="1316"/>
      <c r="AC11" s="204"/>
      <c r="AD11" s="1326"/>
      <c r="AE11" s="204"/>
      <c r="AF11" s="1326"/>
      <c r="AG11" s="203"/>
      <c r="AH11" s="1320"/>
      <c r="AI11" s="1314"/>
      <c r="AJ11" s="196"/>
      <c r="AK11" s="1316"/>
      <c r="AL11" s="204"/>
      <c r="AM11" s="1326"/>
      <c r="AN11" s="204"/>
      <c r="AO11" s="1326"/>
      <c r="AP11" s="203"/>
      <c r="AQ11" s="1320"/>
      <c r="AR11" s="1314"/>
      <c r="AS11" s="196"/>
      <c r="AT11" s="1316"/>
      <c r="AU11" s="204"/>
      <c r="AV11" s="1326"/>
      <c r="AW11" s="204"/>
      <c r="AX11" s="1326"/>
      <c r="AY11" s="203"/>
      <c r="AZ11" s="1320"/>
      <c r="BA11" s="1314"/>
      <c r="BB11" s="196"/>
      <c r="BC11" s="1316"/>
      <c r="BD11" s="204"/>
      <c r="BE11" s="1326"/>
      <c r="BF11" s="204"/>
      <c r="BG11" s="1326"/>
      <c r="BH11" s="207"/>
      <c r="BI11" s="1341"/>
      <c r="BJ11" s="207"/>
      <c r="BK11" s="1341"/>
      <c r="BL11" s="207"/>
      <c r="BM11" s="1341"/>
      <c r="BN11" s="207"/>
      <c r="BO11" s="1341"/>
      <c r="BP11" s="206"/>
      <c r="BQ11" s="277">
        <v>6</v>
      </c>
      <c r="BR11" s="208">
        <f t="shared" ref="BR11:BR74" si="14">+(X11+AG11+(AP11/3))</f>
        <v>0</v>
      </c>
      <c r="BS11" s="1299"/>
      <c r="BT11" s="195">
        <f t="shared" si="13"/>
        <v>0</v>
      </c>
      <c r="BU11" s="196"/>
      <c r="BV11" s="196"/>
      <c r="BW11" s="196"/>
      <c r="BX11" s="196"/>
      <c r="BY11" s="196"/>
      <c r="BZ11" s="19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7" x14ac:dyDescent="0.25">
      <c r="A12" s="197">
        <v>11300</v>
      </c>
      <c r="B12" s="194" t="s">
        <v>4</v>
      </c>
      <c r="C12" s="198" t="s">
        <v>150</v>
      </c>
      <c r="D12" s="194" t="s">
        <v>153</v>
      </c>
      <c r="E12" s="198" t="s">
        <v>151</v>
      </c>
      <c r="F12" s="194" t="s">
        <v>133</v>
      </c>
      <c r="G12" s="209" t="s">
        <v>124</v>
      </c>
      <c r="H12" s="198">
        <v>4</v>
      </c>
      <c r="I12" s="198" t="s">
        <v>293</v>
      </c>
      <c r="J12" s="194" t="s">
        <v>24</v>
      </c>
      <c r="K12" s="210">
        <v>0</v>
      </c>
      <c r="L12" s="211">
        <v>1</v>
      </c>
      <c r="M12" s="194" t="s">
        <v>51</v>
      </c>
      <c r="N12" s="194" t="s">
        <v>68</v>
      </c>
      <c r="O12" s="194" t="s">
        <v>21</v>
      </c>
      <c r="P12" s="194" t="s">
        <v>36</v>
      </c>
      <c r="Q12" s="194" t="s">
        <v>75</v>
      </c>
      <c r="R12" s="194" t="s">
        <v>631</v>
      </c>
      <c r="S12" s="194" t="s">
        <v>98</v>
      </c>
      <c r="T12" s="198">
        <v>4</v>
      </c>
      <c r="U12" s="212" t="str">
        <f t="shared" ref="U12:V75" si="15">+J12</f>
        <v>Reportar el cumplimiento del Plan de Acción de la Dependencia</v>
      </c>
      <c r="V12" s="213">
        <f t="shared" si="15"/>
        <v>0</v>
      </c>
      <c r="W12" s="214" t="s">
        <v>117</v>
      </c>
      <c r="X12" s="215">
        <v>1</v>
      </c>
      <c r="Y12" s="214" t="s">
        <v>24</v>
      </c>
      <c r="Z12" s="210">
        <v>0</v>
      </c>
      <c r="AA12" s="196"/>
      <c r="AB12" s="196"/>
      <c r="AC12" s="204">
        <f t="shared" ref="AC12:AC75" si="16">+(AA12/X12)</f>
        <v>0</v>
      </c>
      <c r="AD12" s="204" t="e">
        <f t="shared" ref="AD12:AD75" si="17">+(AB12/Z12)</f>
        <v>#DIV/0!</v>
      </c>
      <c r="AE12" s="204">
        <f t="shared" si="0"/>
        <v>0</v>
      </c>
      <c r="AF12" s="204" t="e">
        <f t="shared" si="1"/>
        <v>#DIV/0!</v>
      </c>
      <c r="AG12" s="215">
        <v>1</v>
      </c>
      <c r="AH12" s="214" t="s">
        <v>24</v>
      </c>
      <c r="AI12" s="210">
        <v>0</v>
      </c>
      <c r="AJ12" s="196"/>
      <c r="AK12" s="196"/>
      <c r="AL12" s="204">
        <f t="shared" ref="AL12:AL75" si="18">+(AJ12/AG12)</f>
        <v>0</v>
      </c>
      <c r="AM12" s="204" t="e">
        <f t="shared" si="2"/>
        <v>#DIV/0!</v>
      </c>
      <c r="AN12" s="204">
        <f t="shared" si="3"/>
        <v>0</v>
      </c>
      <c r="AO12" s="204" t="e">
        <f t="shared" si="4"/>
        <v>#DIV/0!</v>
      </c>
      <c r="AP12" s="215">
        <v>1</v>
      </c>
      <c r="AQ12" s="214" t="s">
        <v>24</v>
      </c>
      <c r="AR12" s="210">
        <v>0</v>
      </c>
      <c r="AS12" s="196"/>
      <c r="AT12" s="196"/>
      <c r="AU12" s="204">
        <f t="shared" ref="AU12:AU75" si="19">+(AS12/AP12)</f>
        <v>0</v>
      </c>
      <c r="AV12" s="204" t="e">
        <f t="shared" ref="AV12:AV75" si="20">+(AT12/AR12)</f>
        <v>#DIV/0!</v>
      </c>
      <c r="AW12" s="204">
        <f t="shared" ref="AW12:AW75" si="21">+(AJ12+AA12+AS12)/T12</f>
        <v>0</v>
      </c>
      <c r="AX12" s="204" t="e">
        <f t="shared" ref="AX12:AX75" si="22">+(AK12+AB12+AT12)/V12</f>
        <v>#DIV/0!</v>
      </c>
      <c r="AY12" s="215">
        <v>1</v>
      </c>
      <c r="AZ12" s="214" t="s">
        <v>24</v>
      </c>
      <c r="BA12" s="210">
        <v>0</v>
      </c>
      <c r="BB12" s="196"/>
      <c r="BC12" s="196"/>
      <c r="BD12" s="216">
        <f t="shared" ref="BD12:BD75" si="23">+(BB12/AY12)</f>
        <v>0</v>
      </c>
      <c r="BE12" s="216" t="e">
        <f t="shared" ref="BE12:BE75" si="24">+(BC12/BA12)</f>
        <v>#DIV/0!</v>
      </c>
      <c r="BF12" s="216">
        <f t="shared" ref="BF12:BF75" si="25">+(AJ12+AA12+AS12+BB12)/T12</f>
        <v>0</v>
      </c>
      <c r="BG12" s="216" t="e">
        <f t="shared" ref="BG12:BG75" si="26">+(AK12+AB12+AT12+BC12)/V12</f>
        <v>#DIV/0!</v>
      </c>
      <c r="BH12" s="217">
        <f t="shared" si="7"/>
        <v>0</v>
      </c>
      <c r="BI12" s="217" t="str">
        <f t="shared" si="8"/>
        <v>No Prog ni Ejec</v>
      </c>
      <c r="BJ12" s="217">
        <f t="shared" si="9"/>
        <v>0</v>
      </c>
      <c r="BK12" s="217" t="str">
        <f t="shared" si="10"/>
        <v>No Prog ni Ejec</v>
      </c>
      <c r="BL12" s="217">
        <f t="shared" ref="BL12:BL75" si="27">IF(AND(AP12=0,AS12=0),"No Prog ni Ejec",IF(AP12=0,CONCATENATE("No Prog, Ejec=  ",AS12),AS12/AP12))</f>
        <v>0</v>
      </c>
      <c r="BM12" s="217" t="str">
        <f t="shared" ref="BM12:BM75" si="28">IF(AND(AR12=0,AT12=0),"No Prog ni Ejec",IF(AR12=0,CONCATENATE("No Prog, Ejec=  ",AT12),AT12/AR12))</f>
        <v>No Prog ni Ejec</v>
      </c>
      <c r="BN12" s="217">
        <f t="shared" si="11"/>
        <v>0</v>
      </c>
      <c r="BO12" s="217" t="str">
        <f t="shared" si="12"/>
        <v>No Prog ni Ejec</v>
      </c>
      <c r="BP12" s="206"/>
      <c r="BQ12" s="277">
        <v>5</v>
      </c>
      <c r="BR12" s="218">
        <f t="shared" si="14"/>
        <v>2.3333333333333335</v>
      </c>
      <c r="BS12" s="219" t="str">
        <f>+U12</f>
        <v>Reportar el cumplimiento del Plan de Acción de la Dependencia</v>
      </c>
      <c r="BT12" s="195">
        <f t="shared" si="13"/>
        <v>0</v>
      </c>
      <c r="BU12" s="196"/>
      <c r="BV12" s="196"/>
      <c r="BW12" s="196"/>
      <c r="BX12" s="196"/>
      <c r="BY12" s="196"/>
      <c r="BZ12" s="19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99.75" x14ac:dyDescent="0.25">
      <c r="A13" s="197">
        <v>11300</v>
      </c>
      <c r="B13" s="194" t="s">
        <v>4</v>
      </c>
      <c r="C13" s="198" t="s">
        <v>157</v>
      </c>
      <c r="D13" s="194" t="s">
        <v>256</v>
      </c>
      <c r="E13" s="198" t="s">
        <v>576</v>
      </c>
      <c r="F13" s="194" t="s">
        <v>159</v>
      </c>
      <c r="G13" s="209" t="s">
        <v>123</v>
      </c>
      <c r="H13" s="216">
        <v>1</v>
      </c>
      <c r="I13" s="198" t="s">
        <v>577</v>
      </c>
      <c r="J13" s="194" t="s">
        <v>156</v>
      </c>
      <c r="K13" s="210">
        <v>0</v>
      </c>
      <c r="L13" s="211">
        <v>1</v>
      </c>
      <c r="M13" s="194" t="s">
        <v>51</v>
      </c>
      <c r="N13" s="194" t="s">
        <v>68</v>
      </c>
      <c r="O13" s="194" t="s">
        <v>21</v>
      </c>
      <c r="P13" s="194" t="s">
        <v>36</v>
      </c>
      <c r="Q13" s="194" t="s">
        <v>75</v>
      </c>
      <c r="R13" s="194" t="s">
        <v>672</v>
      </c>
      <c r="S13" s="194" t="s">
        <v>98</v>
      </c>
      <c r="T13" s="211">
        <v>1</v>
      </c>
      <c r="U13" s="212" t="str">
        <f t="shared" si="15"/>
        <v>Formular los proceso y procedimientos en el marco del MIPG</v>
      </c>
      <c r="V13" s="213">
        <f t="shared" si="15"/>
        <v>0</v>
      </c>
      <c r="W13" s="214" t="s">
        <v>117</v>
      </c>
      <c r="X13" s="216">
        <v>0.25</v>
      </c>
      <c r="Y13" s="214" t="s">
        <v>156</v>
      </c>
      <c r="Z13" s="210">
        <v>0</v>
      </c>
      <c r="AA13" s="196"/>
      <c r="AB13" s="196"/>
      <c r="AC13" s="204">
        <f t="shared" si="16"/>
        <v>0</v>
      </c>
      <c r="AD13" s="204" t="e">
        <f t="shared" si="17"/>
        <v>#DIV/0!</v>
      </c>
      <c r="AE13" s="204">
        <f t="shared" si="0"/>
        <v>0</v>
      </c>
      <c r="AF13" s="204" t="e">
        <f t="shared" si="1"/>
        <v>#DIV/0!</v>
      </c>
      <c r="AG13" s="216">
        <v>0.25</v>
      </c>
      <c r="AH13" s="214" t="s">
        <v>156</v>
      </c>
      <c r="AI13" s="210">
        <v>0</v>
      </c>
      <c r="AJ13" s="196"/>
      <c r="AK13" s="196"/>
      <c r="AL13" s="204">
        <f t="shared" si="18"/>
        <v>0</v>
      </c>
      <c r="AM13" s="204" t="e">
        <f t="shared" si="2"/>
        <v>#DIV/0!</v>
      </c>
      <c r="AN13" s="204">
        <f t="shared" si="3"/>
        <v>0</v>
      </c>
      <c r="AO13" s="204" t="e">
        <f t="shared" si="4"/>
        <v>#DIV/0!</v>
      </c>
      <c r="AP13" s="216">
        <v>0.25</v>
      </c>
      <c r="AQ13" s="214" t="s">
        <v>156</v>
      </c>
      <c r="AR13" s="210">
        <v>0</v>
      </c>
      <c r="AS13" s="196"/>
      <c r="AT13" s="196"/>
      <c r="AU13" s="204">
        <f t="shared" si="19"/>
        <v>0</v>
      </c>
      <c r="AV13" s="204" t="e">
        <f t="shared" si="20"/>
        <v>#DIV/0!</v>
      </c>
      <c r="AW13" s="204">
        <f t="shared" si="21"/>
        <v>0</v>
      </c>
      <c r="AX13" s="204" t="e">
        <f t="shared" si="22"/>
        <v>#DIV/0!</v>
      </c>
      <c r="AY13" s="216">
        <v>0.25</v>
      </c>
      <c r="AZ13" s="214" t="s">
        <v>156</v>
      </c>
      <c r="BA13" s="210">
        <v>0</v>
      </c>
      <c r="BB13" s="196"/>
      <c r="BC13" s="196"/>
      <c r="BD13" s="216">
        <f t="shared" si="23"/>
        <v>0</v>
      </c>
      <c r="BE13" s="216" t="e">
        <f t="shared" si="24"/>
        <v>#DIV/0!</v>
      </c>
      <c r="BF13" s="216">
        <f t="shared" si="25"/>
        <v>0</v>
      </c>
      <c r="BG13" s="216" t="e">
        <f t="shared" si="26"/>
        <v>#DIV/0!</v>
      </c>
      <c r="BH13" s="217">
        <f t="shared" si="7"/>
        <v>0</v>
      </c>
      <c r="BI13" s="217" t="str">
        <f t="shared" si="8"/>
        <v>No Prog ni Ejec</v>
      </c>
      <c r="BJ13" s="217">
        <f t="shared" si="9"/>
        <v>0</v>
      </c>
      <c r="BK13" s="217" t="str">
        <f t="shared" si="10"/>
        <v>No Prog ni Ejec</v>
      </c>
      <c r="BL13" s="217">
        <f t="shared" si="27"/>
        <v>0</v>
      </c>
      <c r="BM13" s="217" t="str">
        <f t="shared" si="28"/>
        <v>No Prog ni Ejec</v>
      </c>
      <c r="BN13" s="217">
        <f t="shared" si="11"/>
        <v>0</v>
      </c>
      <c r="BO13" s="217" t="str">
        <f t="shared" si="12"/>
        <v>No Prog ni Ejec</v>
      </c>
      <c r="BP13" s="206"/>
      <c r="BQ13" s="277">
        <v>5</v>
      </c>
      <c r="BR13" s="208">
        <f t="shared" si="14"/>
        <v>0.58333333333333337</v>
      </c>
      <c r="BS13" s="219" t="str">
        <f>+U13</f>
        <v>Formular los proceso y procedimientos en el marco del MIPG</v>
      </c>
      <c r="BT13" s="195">
        <f t="shared" si="13"/>
        <v>0</v>
      </c>
      <c r="BU13" s="196"/>
      <c r="BV13" s="196"/>
      <c r="BW13" s="196"/>
      <c r="BX13" s="196"/>
      <c r="BY13" s="196"/>
      <c r="BZ13" s="19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99.75" x14ac:dyDescent="0.25">
      <c r="A14" s="197">
        <v>11300</v>
      </c>
      <c r="B14" s="194" t="s">
        <v>4</v>
      </c>
      <c r="C14" s="198" t="s">
        <v>157</v>
      </c>
      <c r="D14" s="194" t="s">
        <v>256</v>
      </c>
      <c r="E14" s="198" t="s">
        <v>158</v>
      </c>
      <c r="F14" s="194" t="s">
        <v>127</v>
      </c>
      <c r="G14" s="209" t="s">
        <v>123</v>
      </c>
      <c r="H14" s="216">
        <v>1</v>
      </c>
      <c r="I14" s="198" t="s">
        <v>294</v>
      </c>
      <c r="J14" s="194" t="s">
        <v>128</v>
      </c>
      <c r="K14" s="210">
        <v>0</v>
      </c>
      <c r="L14" s="211">
        <v>1</v>
      </c>
      <c r="M14" s="194" t="s">
        <v>51</v>
      </c>
      <c r="N14" s="194" t="s">
        <v>68</v>
      </c>
      <c r="O14" s="194" t="s">
        <v>21</v>
      </c>
      <c r="P14" s="194" t="s">
        <v>36</v>
      </c>
      <c r="Q14" s="194" t="s">
        <v>75</v>
      </c>
      <c r="R14" s="194" t="s">
        <v>570</v>
      </c>
      <c r="S14" s="194" t="s">
        <v>98</v>
      </c>
      <c r="T14" s="211">
        <v>1</v>
      </c>
      <c r="U14" s="212" t="str">
        <f t="shared" si="15"/>
        <v>Remitir informes trimestrales de los indicadores formulados y las acciones de mejoras</v>
      </c>
      <c r="V14" s="213">
        <f t="shared" si="15"/>
        <v>0</v>
      </c>
      <c r="W14" s="214" t="s">
        <v>117</v>
      </c>
      <c r="X14" s="216">
        <v>0</v>
      </c>
      <c r="Y14" s="214" t="s">
        <v>128</v>
      </c>
      <c r="Z14" s="210">
        <v>0</v>
      </c>
      <c r="AA14" s="196"/>
      <c r="AB14" s="196"/>
      <c r="AC14" s="204" t="e">
        <f t="shared" si="16"/>
        <v>#DIV/0!</v>
      </c>
      <c r="AD14" s="204" t="e">
        <f>+(AB14/Z14)</f>
        <v>#DIV/0!</v>
      </c>
      <c r="AE14" s="204">
        <f>+(AA14/T14)</f>
        <v>0</v>
      </c>
      <c r="AF14" s="204" t="e">
        <f>+(AB14/V14)</f>
        <v>#DIV/0!</v>
      </c>
      <c r="AG14" s="216">
        <v>0</v>
      </c>
      <c r="AH14" s="214" t="s">
        <v>128</v>
      </c>
      <c r="AI14" s="210">
        <v>0</v>
      </c>
      <c r="AJ14" s="196"/>
      <c r="AK14" s="196"/>
      <c r="AL14" s="204" t="e">
        <f t="shared" si="18"/>
        <v>#DIV/0!</v>
      </c>
      <c r="AM14" s="204" t="e">
        <f t="shared" si="2"/>
        <v>#DIV/0!</v>
      </c>
      <c r="AN14" s="204">
        <f t="shared" si="3"/>
        <v>0</v>
      </c>
      <c r="AO14" s="204" t="e">
        <f t="shared" si="4"/>
        <v>#DIV/0!</v>
      </c>
      <c r="AP14" s="216">
        <v>0</v>
      </c>
      <c r="AQ14" s="214" t="s">
        <v>128</v>
      </c>
      <c r="AR14" s="210">
        <v>0</v>
      </c>
      <c r="AS14" s="196"/>
      <c r="AT14" s="196"/>
      <c r="AU14" s="204" t="e">
        <f t="shared" si="19"/>
        <v>#DIV/0!</v>
      </c>
      <c r="AV14" s="204" t="e">
        <f t="shared" si="20"/>
        <v>#DIV/0!</v>
      </c>
      <c r="AW14" s="204">
        <f t="shared" si="21"/>
        <v>0</v>
      </c>
      <c r="AX14" s="204" t="e">
        <f t="shared" si="22"/>
        <v>#DIV/0!</v>
      </c>
      <c r="AY14" s="216">
        <v>1</v>
      </c>
      <c r="AZ14" s="214" t="s">
        <v>128</v>
      </c>
      <c r="BA14" s="210">
        <v>0</v>
      </c>
      <c r="BB14" s="196"/>
      <c r="BC14" s="196"/>
      <c r="BD14" s="216">
        <f t="shared" si="23"/>
        <v>0</v>
      </c>
      <c r="BE14" s="216" t="e">
        <f t="shared" si="24"/>
        <v>#DIV/0!</v>
      </c>
      <c r="BF14" s="216">
        <f t="shared" si="25"/>
        <v>0</v>
      </c>
      <c r="BG14" s="216" t="e">
        <f t="shared" si="26"/>
        <v>#DIV/0!</v>
      </c>
      <c r="BH14" s="217" t="str">
        <f t="shared" si="7"/>
        <v>No Prog ni Ejec</v>
      </c>
      <c r="BI14" s="217" t="str">
        <f t="shared" si="8"/>
        <v>No Prog ni Ejec</v>
      </c>
      <c r="BJ14" s="217" t="str">
        <f t="shared" si="9"/>
        <v>No Prog ni Ejec</v>
      </c>
      <c r="BK14" s="217" t="str">
        <f t="shared" si="10"/>
        <v>No Prog ni Ejec</v>
      </c>
      <c r="BL14" s="217" t="str">
        <f t="shared" si="27"/>
        <v>No Prog ni Ejec</v>
      </c>
      <c r="BM14" s="217" t="str">
        <f t="shared" si="28"/>
        <v>No Prog ni Ejec</v>
      </c>
      <c r="BN14" s="217">
        <f t="shared" si="11"/>
        <v>0</v>
      </c>
      <c r="BO14" s="217" t="str">
        <f t="shared" si="12"/>
        <v>No Prog ni Ejec</v>
      </c>
      <c r="BP14" s="206"/>
      <c r="BQ14" s="277">
        <v>5</v>
      </c>
      <c r="BR14" s="208">
        <f t="shared" si="14"/>
        <v>0</v>
      </c>
      <c r="BS14" s="219" t="str">
        <f>+U14</f>
        <v>Remitir informes trimestrales de los indicadores formulados y las acciones de mejoras</v>
      </c>
      <c r="BT14" s="195">
        <f t="shared" si="13"/>
        <v>0</v>
      </c>
      <c r="BU14" s="196"/>
      <c r="BV14" s="196"/>
      <c r="BW14" s="196"/>
      <c r="BX14" s="196"/>
      <c r="BY14" s="196"/>
      <c r="BZ14" s="19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7" x14ac:dyDescent="0.25">
      <c r="A15" s="197">
        <v>11300</v>
      </c>
      <c r="B15" s="194" t="s">
        <v>4</v>
      </c>
      <c r="C15" s="198" t="s">
        <v>160</v>
      </c>
      <c r="D15" s="194" t="s">
        <v>145</v>
      </c>
      <c r="E15" s="198" t="s">
        <v>161</v>
      </c>
      <c r="F15" s="194" t="s">
        <v>162</v>
      </c>
      <c r="G15" s="209" t="s">
        <v>123</v>
      </c>
      <c r="H15" s="216">
        <v>1</v>
      </c>
      <c r="I15" s="198" t="s">
        <v>295</v>
      </c>
      <c r="J15" s="194" t="s">
        <v>165</v>
      </c>
      <c r="K15" s="210">
        <v>74955308000</v>
      </c>
      <c r="L15" s="220">
        <v>1.7542864196212072E-3</v>
      </c>
      <c r="M15" s="194" t="s">
        <v>46</v>
      </c>
      <c r="N15" s="194" t="s">
        <v>68</v>
      </c>
      <c r="O15" s="194" t="s">
        <v>21</v>
      </c>
      <c r="P15" s="194" t="s">
        <v>36</v>
      </c>
      <c r="Q15" s="194" t="s">
        <v>213</v>
      </c>
      <c r="R15" s="194" t="s">
        <v>182</v>
      </c>
      <c r="S15" s="194" t="s">
        <v>99</v>
      </c>
      <c r="T15" s="211">
        <v>1</v>
      </c>
      <c r="U15" s="212" t="str">
        <f t="shared" si="15"/>
        <v>Transferencias Entidades de Administración Publica Central</v>
      </c>
      <c r="V15" s="213">
        <f t="shared" si="15"/>
        <v>74955308000</v>
      </c>
      <c r="W15" s="214" t="s">
        <v>116</v>
      </c>
      <c r="X15" s="281">
        <v>0.25</v>
      </c>
      <c r="Y15" s="282" t="s">
        <v>165</v>
      </c>
      <c r="Z15" s="283">
        <v>18738827000</v>
      </c>
      <c r="AA15" s="279"/>
      <c r="AB15" s="279"/>
      <c r="AC15" s="280">
        <f t="shared" si="16"/>
        <v>0</v>
      </c>
      <c r="AD15" s="280">
        <f t="shared" si="17"/>
        <v>0</v>
      </c>
      <c r="AE15" s="280">
        <f t="shared" si="0"/>
        <v>0</v>
      </c>
      <c r="AF15" s="280">
        <f t="shared" si="1"/>
        <v>0</v>
      </c>
      <c r="AG15" s="281">
        <v>0.25</v>
      </c>
      <c r="AH15" s="282" t="s">
        <v>165</v>
      </c>
      <c r="AI15" s="283">
        <v>18738827000</v>
      </c>
      <c r="AJ15" s="279"/>
      <c r="AK15" s="279"/>
      <c r="AL15" s="280">
        <f t="shared" si="18"/>
        <v>0</v>
      </c>
      <c r="AM15" s="280">
        <f t="shared" si="2"/>
        <v>0</v>
      </c>
      <c r="AN15" s="280">
        <f t="shared" si="3"/>
        <v>0</v>
      </c>
      <c r="AO15" s="280">
        <f t="shared" si="4"/>
        <v>0</v>
      </c>
      <c r="AP15" s="281">
        <v>0.25</v>
      </c>
      <c r="AQ15" s="282" t="s">
        <v>165</v>
      </c>
      <c r="AR15" s="283">
        <v>18738827000</v>
      </c>
      <c r="AS15" s="279"/>
      <c r="AT15" s="279"/>
      <c r="AU15" s="280">
        <f t="shared" si="19"/>
        <v>0</v>
      </c>
      <c r="AV15" s="280">
        <f t="shared" si="20"/>
        <v>0</v>
      </c>
      <c r="AW15" s="280">
        <f t="shared" si="21"/>
        <v>0</v>
      </c>
      <c r="AX15" s="280">
        <f t="shared" si="22"/>
        <v>0</v>
      </c>
      <c r="AY15" s="281">
        <v>0.25</v>
      </c>
      <c r="AZ15" s="282" t="s">
        <v>165</v>
      </c>
      <c r="BA15" s="283">
        <v>18738827000</v>
      </c>
      <c r="BB15" s="279"/>
      <c r="BC15" s="279"/>
      <c r="BD15" s="281">
        <f t="shared" si="23"/>
        <v>0</v>
      </c>
      <c r="BE15" s="281">
        <f t="shared" si="24"/>
        <v>0</v>
      </c>
      <c r="BF15" s="281">
        <f t="shared" si="25"/>
        <v>0</v>
      </c>
      <c r="BG15" s="281">
        <f t="shared" si="26"/>
        <v>0</v>
      </c>
      <c r="BH15" s="205">
        <f t="shared" si="7"/>
        <v>0</v>
      </c>
      <c r="BI15" s="205">
        <f t="shared" si="8"/>
        <v>0</v>
      </c>
      <c r="BJ15" s="205">
        <f t="shared" si="9"/>
        <v>0</v>
      </c>
      <c r="BK15" s="205">
        <f t="shared" si="10"/>
        <v>0</v>
      </c>
      <c r="BL15" s="205">
        <f t="shared" si="27"/>
        <v>0</v>
      </c>
      <c r="BM15" s="205">
        <f t="shared" si="28"/>
        <v>0</v>
      </c>
      <c r="BN15" s="205">
        <f t="shared" si="11"/>
        <v>0</v>
      </c>
      <c r="BO15" s="205">
        <f t="shared" si="12"/>
        <v>0</v>
      </c>
      <c r="BP15" s="206"/>
      <c r="BQ15" s="277">
        <v>1</v>
      </c>
      <c r="BR15" s="208">
        <f t="shared" si="14"/>
        <v>0.58333333333333337</v>
      </c>
      <c r="BS15" s="219" t="str">
        <f t="shared" ref="BS15:BS78" si="29">+U15</f>
        <v>Transferencias Entidades de Administración Publica Central</v>
      </c>
      <c r="BT15" s="195">
        <f t="shared" si="13"/>
        <v>43723929666.666664</v>
      </c>
      <c r="BU15" s="196"/>
      <c r="BV15" s="196"/>
      <c r="BW15" s="196"/>
      <c r="BX15" s="196"/>
      <c r="BY15" s="196"/>
      <c r="BZ15" s="19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7" x14ac:dyDescent="0.25">
      <c r="A16" s="197">
        <v>11300</v>
      </c>
      <c r="B16" s="194" t="s">
        <v>4</v>
      </c>
      <c r="C16" s="198" t="s">
        <v>160</v>
      </c>
      <c r="D16" s="194" t="s">
        <v>145</v>
      </c>
      <c r="E16" s="198" t="s">
        <v>161</v>
      </c>
      <c r="F16" s="194" t="s">
        <v>162</v>
      </c>
      <c r="G16" s="209" t="s">
        <v>123</v>
      </c>
      <c r="H16" s="216">
        <v>1</v>
      </c>
      <c r="I16" s="198" t="s">
        <v>296</v>
      </c>
      <c r="J16" s="194" t="s">
        <v>166</v>
      </c>
      <c r="K16" s="210">
        <v>89295030000</v>
      </c>
      <c r="L16" s="220">
        <v>2.0898994700771331E-3</v>
      </c>
      <c r="M16" s="194" t="s">
        <v>46</v>
      </c>
      <c r="N16" s="194" t="s">
        <v>68</v>
      </c>
      <c r="O16" s="194" t="s">
        <v>21</v>
      </c>
      <c r="P16" s="194" t="s">
        <v>36</v>
      </c>
      <c r="Q16" s="194" t="s">
        <v>213</v>
      </c>
      <c r="R16" s="194" t="s">
        <v>182</v>
      </c>
      <c r="S16" s="194" t="s">
        <v>99</v>
      </c>
      <c r="T16" s="211">
        <v>1</v>
      </c>
      <c r="U16" s="212" t="str">
        <f t="shared" si="15"/>
        <v>Empresas Publicas nacionales No Financieras - ADRES</v>
      </c>
      <c r="V16" s="213">
        <f t="shared" si="15"/>
        <v>89295030000</v>
      </c>
      <c r="W16" s="214" t="s">
        <v>116</v>
      </c>
      <c r="X16" s="281">
        <v>0.25</v>
      </c>
      <c r="Y16" s="282" t="s">
        <v>166</v>
      </c>
      <c r="Z16" s="283">
        <v>22323757500</v>
      </c>
      <c r="AA16" s="279"/>
      <c r="AB16" s="279"/>
      <c r="AC16" s="280">
        <f t="shared" si="16"/>
        <v>0</v>
      </c>
      <c r="AD16" s="280">
        <f t="shared" si="17"/>
        <v>0</v>
      </c>
      <c r="AE16" s="280">
        <f t="shared" si="0"/>
        <v>0</v>
      </c>
      <c r="AF16" s="280">
        <f t="shared" si="1"/>
        <v>0</v>
      </c>
      <c r="AG16" s="281">
        <v>0.25</v>
      </c>
      <c r="AH16" s="282" t="s">
        <v>166</v>
      </c>
      <c r="AI16" s="283">
        <v>22323757500</v>
      </c>
      <c r="AJ16" s="279"/>
      <c r="AK16" s="279"/>
      <c r="AL16" s="280">
        <f t="shared" si="18"/>
        <v>0</v>
      </c>
      <c r="AM16" s="280">
        <f t="shared" si="2"/>
        <v>0</v>
      </c>
      <c r="AN16" s="280">
        <f t="shared" si="3"/>
        <v>0</v>
      </c>
      <c r="AO16" s="280">
        <f t="shared" si="4"/>
        <v>0</v>
      </c>
      <c r="AP16" s="281">
        <v>0.25</v>
      </c>
      <c r="AQ16" s="282" t="s">
        <v>166</v>
      </c>
      <c r="AR16" s="283">
        <v>22323757500</v>
      </c>
      <c r="AS16" s="279"/>
      <c r="AT16" s="279"/>
      <c r="AU16" s="280">
        <f t="shared" si="19"/>
        <v>0</v>
      </c>
      <c r="AV16" s="280">
        <f t="shared" si="20"/>
        <v>0</v>
      </c>
      <c r="AW16" s="280">
        <f t="shared" si="21"/>
        <v>0</v>
      </c>
      <c r="AX16" s="280">
        <f t="shared" si="22"/>
        <v>0</v>
      </c>
      <c r="AY16" s="281">
        <v>0.25</v>
      </c>
      <c r="AZ16" s="282" t="s">
        <v>166</v>
      </c>
      <c r="BA16" s="283">
        <v>22323757500</v>
      </c>
      <c r="BB16" s="279"/>
      <c r="BC16" s="279"/>
      <c r="BD16" s="281">
        <f t="shared" si="23"/>
        <v>0</v>
      </c>
      <c r="BE16" s="281">
        <f t="shared" si="24"/>
        <v>0</v>
      </c>
      <c r="BF16" s="281">
        <f t="shared" si="25"/>
        <v>0</v>
      </c>
      <c r="BG16" s="281">
        <f t="shared" si="26"/>
        <v>0</v>
      </c>
      <c r="BH16" s="205">
        <f t="shared" si="7"/>
        <v>0</v>
      </c>
      <c r="BI16" s="205">
        <f t="shared" si="8"/>
        <v>0</v>
      </c>
      <c r="BJ16" s="205">
        <f t="shared" si="9"/>
        <v>0</v>
      </c>
      <c r="BK16" s="205">
        <f t="shared" si="10"/>
        <v>0</v>
      </c>
      <c r="BL16" s="205">
        <f t="shared" si="27"/>
        <v>0</v>
      </c>
      <c r="BM16" s="205">
        <f t="shared" si="28"/>
        <v>0</v>
      </c>
      <c r="BN16" s="205">
        <f t="shared" si="11"/>
        <v>0</v>
      </c>
      <c r="BO16" s="205">
        <f t="shared" si="12"/>
        <v>0</v>
      </c>
      <c r="BP16" s="206"/>
      <c r="BQ16" s="277">
        <v>1</v>
      </c>
      <c r="BR16" s="208">
        <f t="shared" si="14"/>
        <v>0.58333333333333337</v>
      </c>
      <c r="BS16" s="219" t="str">
        <f t="shared" si="29"/>
        <v>Empresas Publicas nacionales No Financieras - ADRES</v>
      </c>
      <c r="BT16" s="195">
        <f t="shared" si="13"/>
        <v>52088767500</v>
      </c>
      <c r="BU16" s="196"/>
      <c r="BV16" s="196"/>
      <c r="BW16" s="196"/>
      <c r="BX16" s="196"/>
      <c r="BY16" s="196"/>
      <c r="BZ16" s="19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7" x14ac:dyDescent="0.25">
      <c r="A17" s="197">
        <v>11300</v>
      </c>
      <c r="B17" s="194" t="s">
        <v>4</v>
      </c>
      <c r="C17" s="198" t="s">
        <v>160</v>
      </c>
      <c r="D17" s="194" t="s">
        <v>145</v>
      </c>
      <c r="E17" s="198" t="s">
        <v>161</v>
      </c>
      <c r="F17" s="194" t="s">
        <v>162</v>
      </c>
      <c r="G17" s="209" t="s">
        <v>123</v>
      </c>
      <c r="H17" s="216">
        <v>1</v>
      </c>
      <c r="I17" s="198" t="s">
        <v>297</v>
      </c>
      <c r="J17" s="194" t="s">
        <v>167</v>
      </c>
      <c r="K17" s="210">
        <v>3000000000</v>
      </c>
      <c r="L17" s="220">
        <v>7.0213296420096381E-5</v>
      </c>
      <c r="M17" s="194" t="s">
        <v>46</v>
      </c>
      <c r="N17" s="194" t="s">
        <v>68</v>
      </c>
      <c r="O17" s="194" t="s">
        <v>21</v>
      </c>
      <c r="P17" s="194" t="s">
        <v>36</v>
      </c>
      <c r="Q17" s="194" t="s">
        <v>213</v>
      </c>
      <c r="R17" s="194" t="s">
        <v>182</v>
      </c>
      <c r="S17" s="194" t="s">
        <v>99</v>
      </c>
      <c r="T17" s="211">
        <v>1</v>
      </c>
      <c r="U17" s="212" t="str">
        <f t="shared" si="15"/>
        <v>Sentencias y Conciliaciones URA</v>
      </c>
      <c r="V17" s="213">
        <f t="shared" si="15"/>
        <v>3000000000</v>
      </c>
      <c r="W17" s="214" t="s">
        <v>116</v>
      </c>
      <c r="X17" s="281">
        <v>0.25</v>
      </c>
      <c r="Y17" s="282" t="s">
        <v>167</v>
      </c>
      <c r="Z17" s="283">
        <v>750000000</v>
      </c>
      <c r="AA17" s="279"/>
      <c r="AB17" s="279"/>
      <c r="AC17" s="280">
        <f t="shared" si="16"/>
        <v>0</v>
      </c>
      <c r="AD17" s="280">
        <f t="shared" si="17"/>
        <v>0</v>
      </c>
      <c r="AE17" s="280">
        <f t="shared" si="0"/>
        <v>0</v>
      </c>
      <c r="AF17" s="280">
        <f t="shared" si="1"/>
        <v>0</v>
      </c>
      <c r="AG17" s="281">
        <v>0.25</v>
      </c>
      <c r="AH17" s="282" t="s">
        <v>167</v>
      </c>
      <c r="AI17" s="283">
        <v>750000000</v>
      </c>
      <c r="AJ17" s="279"/>
      <c r="AK17" s="279"/>
      <c r="AL17" s="280">
        <f t="shared" si="18"/>
        <v>0</v>
      </c>
      <c r="AM17" s="280">
        <f t="shared" si="2"/>
        <v>0</v>
      </c>
      <c r="AN17" s="280">
        <f t="shared" si="3"/>
        <v>0</v>
      </c>
      <c r="AO17" s="280">
        <f t="shared" si="4"/>
        <v>0</v>
      </c>
      <c r="AP17" s="281">
        <v>0.25</v>
      </c>
      <c r="AQ17" s="282" t="s">
        <v>167</v>
      </c>
      <c r="AR17" s="283">
        <v>750000000</v>
      </c>
      <c r="AS17" s="279"/>
      <c r="AT17" s="279"/>
      <c r="AU17" s="280">
        <f t="shared" si="19"/>
        <v>0</v>
      </c>
      <c r="AV17" s="280">
        <f t="shared" si="20"/>
        <v>0</v>
      </c>
      <c r="AW17" s="280">
        <f t="shared" si="21"/>
        <v>0</v>
      </c>
      <c r="AX17" s="280">
        <f t="shared" si="22"/>
        <v>0</v>
      </c>
      <c r="AY17" s="281">
        <v>0.25</v>
      </c>
      <c r="AZ17" s="282" t="s">
        <v>167</v>
      </c>
      <c r="BA17" s="283">
        <v>750000000</v>
      </c>
      <c r="BB17" s="279"/>
      <c r="BC17" s="279"/>
      <c r="BD17" s="281">
        <f t="shared" si="23"/>
        <v>0</v>
      </c>
      <c r="BE17" s="281">
        <f t="shared" si="24"/>
        <v>0</v>
      </c>
      <c r="BF17" s="281">
        <f t="shared" si="25"/>
        <v>0</v>
      </c>
      <c r="BG17" s="281">
        <f t="shared" si="26"/>
        <v>0</v>
      </c>
      <c r="BH17" s="205">
        <f t="shared" si="7"/>
        <v>0</v>
      </c>
      <c r="BI17" s="205">
        <f t="shared" si="8"/>
        <v>0</v>
      </c>
      <c r="BJ17" s="205">
        <f t="shared" si="9"/>
        <v>0</v>
      </c>
      <c r="BK17" s="205">
        <f t="shared" si="10"/>
        <v>0</v>
      </c>
      <c r="BL17" s="205">
        <f t="shared" si="27"/>
        <v>0</v>
      </c>
      <c r="BM17" s="205">
        <f t="shared" si="28"/>
        <v>0</v>
      </c>
      <c r="BN17" s="205">
        <f t="shared" si="11"/>
        <v>0</v>
      </c>
      <c r="BO17" s="205">
        <f t="shared" si="12"/>
        <v>0</v>
      </c>
      <c r="BP17" s="206"/>
      <c r="BQ17" s="277">
        <v>1</v>
      </c>
      <c r="BR17" s="208">
        <f t="shared" si="14"/>
        <v>0.58333333333333337</v>
      </c>
      <c r="BS17" s="219" t="str">
        <f t="shared" si="29"/>
        <v>Sentencias y Conciliaciones URA</v>
      </c>
      <c r="BT17" s="195">
        <f t="shared" si="13"/>
        <v>1750000000</v>
      </c>
      <c r="BU17" s="196"/>
      <c r="BV17" s="196"/>
      <c r="BW17" s="196"/>
      <c r="BX17" s="196"/>
      <c r="BY17" s="196"/>
      <c r="BZ17" s="19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7" x14ac:dyDescent="0.25">
      <c r="A18" s="197">
        <v>11300</v>
      </c>
      <c r="B18" s="194" t="s">
        <v>4</v>
      </c>
      <c r="C18" s="198" t="s">
        <v>160</v>
      </c>
      <c r="D18" s="194" t="s">
        <v>145</v>
      </c>
      <c r="E18" s="198" t="s">
        <v>161</v>
      </c>
      <c r="F18" s="194" t="s">
        <v>162</v>
      </c>
      <c r="G18" s="209" t="s">
        <v>123</v>
      </c>
      <c r="H18" s="216">
        <v>1</v>
      </c>
      <c r="I18" s="198" t="s">
        <v>298</v>
      </c>
      <c r="J18" s="194" t="s">
        <v>163</v>
      </c>
      <c r="K18" s="210">
        <v>12016226455000</v>
      </c>
      <c r="L18" s="220">
        <v>0.28123295664530629</v>
      </c>
      <c r="M18" s="194" t="s">
        <v>46</v>
      </c>
      <c r="N18" s="194" t="s">
        <v>68</v>
      </c>
      <c r="O18" s="194" t="s">
        <v>21</v>
      </c>
      <c r="P18" s="194" t="s">
        <v>36</v>
      </c>
      <c r="Q18" s="194" t="s">
        <v>213</v>
      </c>
      <c r="R18" s="194" t="s">
        <v>182</v>
      </c>
      <c r="S18" s="194" t="s">
        <v>99</v>
      </c>
      <c r="T18" s="211">
        <v>1</v>
      </c>
      <c r="U18" s="212" t="str">
        <f t="shared" si="15"/>
        <v>Financiación UPC Régimen Contributivo SSF</v>
      </c>
      <c r="V18" s="213">
        <f t="shared" si="15"/>
        <v>12016226455000</v>
      </c>
      <c r="W18" s="214" t="s">
        <v>116</v>
      </c>
      <c r="X18" s="281">
        <v>0.25</v>
      </c>
      <c r="Y18" s="282" t="s">
        <v>163</v>
      </c>
      <c r="Z18" s="283">
        <v>3004056613750</v>
      </c>
      <c r="AA18" s="279"/>
      <c r="AB18" s="279"/>
      <c r="AC18" s="280">
        <f t="shared" si="16"/>
        <v>0</v>
      </c>
      <c r="AD18" s="280">
        <f t="shared" si="17"/>
        <v>0</v>
      </c>
      <c r="AE18" s="280">
        <f t="shared" si="0"/>
        <v>0</v>
      </c>
      <c r="AF18" s="280">
        <f t="shared" si="1"/>
        <v>0</v>
      </c>
      <c r="AG18" s="281">
        <v>0.25</v>
      </c>
      <c r="AH18" s="282" t="s">
        <v>163</v>
      </c>
      <c r="AI18" s="283">
        <v>3004056613750</v>
      </c>
      <c r="AJ18" s="279"/>
      <c r="AK18" s="279"/>
      <c r="AL18" s="280">
        <f t="shared" si="18"/>
        <v>0</v>
      </c>
      <c r="AM18" s="280">
        <f t="shared" si="2"/>
        <v>0</v>
      </c>
      <c r="AN18" s="280">
        <f t="shared" si="3"/>
        <v>0</v>
      </c>
      <c r="AO18" s="280">
        <f t="shared" si="4"/>
        <v>0</v>
      </c>
      <c r="AP18" s="281">
        <v>0.25</v>
      </c>
      <c r="AQ18" s="282" t="s">
        <v>163</v>
      </c>
      <c r="AR18" s="283">
        <v>3004056613750</v>
      </c>
      <c r="AS18" s="279"/>
      <c r="AT18" s="279"/>
      <c r="AU18" s="280">
        <f t="shared" si="19"/>
        <v>0</v>
      </c>
      <c r="AV18" s="280">
        <f t="shared" si="20"/>
        <v>0</v>
      </c>
      <c r="AW18" s="280">
        <f t="shared" si="21"/>
        <v>0</v>
      </c>
      <c r="AX18" s="280">
        <f t="shared" si="22"/>
        <v>0</v>
      </c>
      <c r="AY18" s="281">
        <v>0.25</v>
      </c>
      <c r="AZ18" s="282" t="s">
        <v>163</v>
      </c>
      <c r="BA18" s="283">
        <v>3004056613750</v>
      </c>
      <c r="BB18" s="279"/>
      <c r="BC18" s="279"/>
      <c r="BD18" s="281">
        <f t="shared" si="23"/>
        <v>0</v>
      </c>
      <c r="BE18" s="281">
        <f t="shared" si="24"/>
        <v>0</v>
      </c>
      <c r="BF18" s="281">
        <f t="shared" si="25"/>
        <v>0</v>
      </c>
      <c r="BG18" s="281">
        <f t="shared" si="26"/>
        <v>0</v>
      </c>
      <c r="BH18" s="205">
        <f t="shared" si="7"/>
        <v>0</v>
      </c>
      <c r="BI18" s="205">
        <f t="shared" si="8"/>
        <v>0</v>
      </c>
      <c r="BJ18" s="205">
        <f t="shared" si="9"/>
        <v>0</v>
      </c>
      <c r="BK18" s="205">
        <f t="shared" si="10"/>
        <v>0</v>
      </c>
      <c r="BL18" s="205">
        <f t="shared" si="27"/>
        <v>0</v>
      </c>
      <c r="BM18" s="205">
        <f t="shared" si="28"/>
        <v>0</v>
      </c>
      <c r="BN18" s="205">
        <f t="shared" si="11"/>
        <v>0</v>
      </c>
      <c r="BO18" s="205">
        <f t="shared" si="12"/>
        <v>0</v>
      </c>
      <c r="BP18" s="206"/>
      <c r="BQ18" s="277">
        <v>1</v>
      </c>
      <c r="BR18" s="208">
        <f t="shared" si="14"/>
        <v>0.58333333333333337</v>
      </c>
      <c r="BS18" s="219" t="str">
        <f t="shared" si="29"/>
        <v>Financiación UPC Régimen Contributivo SSF</v>
      </c>
      <c r="BT18" s="195">
        <f t="shared" si="13"/>
        <v>7009465432083.333</v>
      </c>
      <c r="BU18" s="196"/>
      <c r="BV18" s="196"/>
      <c r="BW18" s="196"/>
      <c r="BX18" s="196"/>
      <c r="BY18" s="196"/>
      <c r="BZ18" s="19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7" x14ac:dyDescent="0.25">
      <c r="A19" s="197">
        <v>11300</v>
      </c>
      <c r="B19" s="194" t="s">
        <v>4</v>
      </c>
      <c r="C19" s="198" t="s">
        <v>160</v>
      </c>
      <c r="D19" s="194" t="s">
        <v>145</v>
      </c>
      <c r="E19" s="198" t="s">
        <v>161</v>
      </c>
      <c r="F19" s="194" t="s">
        <v>162</v>
      </c>
      <c r="G19" s="209" t="s">
        <v>123</v>
      </c>
      <c r="H19" s="216">
        <v>1</v>
      </c>
      <c r="I19" s="198" t="s">
        <v>299</v>
      </c>
      <c r="J19" s="194" t="s">
        <v>164</v>
      </c>
      <c r="K19" s="210">
        <v>9042819545000</v>
      </c>
      <c r="L19" s="220">
        <v>0.2116420563955087</v>
      </c>
      <c r="M19" s="194" t="s">
        <v>46</v>
      </c>
      <c r="N19" s="194" t="s">
        <v>68</v>
      </c>
      <c r="O19" s="194" t="s">
        <v>21</v>
      </c>
      <c r="P19" s="194" t="s">
        <v>36</v>
      </c>
      <c r="Q19" s="194" t="s">
        <v>213</v>
      </c>
      <c r="R19" s="194" t="s">
        <v>182</v>
      </c>
      <c r="S19" s="194" t="s">
        <v>99</v>
      </c>
      <c r="T19" s="211">
        <v>1</v>
      </c>
      <c r="U19" s="212" t="str">
        <f t="shared" si="15"/>
        <v>Financiación UPC Régimen Contributivo CSF</v>
      </c>
      <c r="V19" s="213">
        <f t="shared" si="15"/>
        <v>9042819545000</v>
      </c>
      <c r="W19" s="214" t="s">
        <v>116</v>
      </c>
      <c r="X19" s="281">
        <v>0.25</v>
      </c>
      <c r="Y19" s="282" t="s">
        <v>164</v>
      </c>
      <c r="Z19" s="283">
        <v>2260704886250</v>
      </c>
      <c r="AA19" s="279"/>
      <c r="AB19" s="279"/>
      <c r="AC19" s="280">
        <f t="shared" si="16"/>
        <v>0</v>
      </c>
      <c r="AD19" s="280">
        <f t="shared" si="17"/>
        <v>0</v>
      </c>
      <c r="AE19" s="280">
        <f t="shared" si="0"/>
        <v>0</v>
      </c>
      <c r="AF19" s="280">
        <f t="shared" si="1"/>
        <v>0</v>
      </c>
      <c r="AG19" s="281">
        <v>0.25</v>
      </c>
      <c r="AH19" s="282" t="s">
        <v>164</v>
      </c>
      <c r="AI19" s="283">
        <v>2260704886250</v>
      </c>
      <c r="AJ19" s="279"/>
      <c r="AK19" s="279"/>
      <c r="AL19" s="280">
        <f t="shared" si="18"/>
        <v>0</v>
      </c>
      <c r="AM19" s="280">
        <f t="shared" si="2"/>
        <v>0</v>
      </c>
      <c r="AN19" s="280">
        <f t="shared" si="3"/>
        <v>0</v>
      </c>
      <c r="AO19" s="280">
        <f t="shared" si="4"/>
        <v>0</v>
      </c>
      <c r="AP19" s="281">
        <v>0.25</v>
      </c>
      <c r="AQ19" s="282" t="s">
        <v>164</v>
      </c>
      <c r="AR19" s="283">
        <v>2260704886250</v>
      </c>
      <c r="AS19" s="279"/>
      <c r="AT19" s="279"/>
      <c r="AU19" s="280">
        <f t="shared" si="19"/>
        <v>0</v>
      </c>
      <c r="AV19" s="280">
        <f t="shared" si="20"/>
        <v>0</v>
      </c>
      <c r="AW19" s="280">
        <f t="shared" si="21"/>
        <v>0</v>
      </c>
      <c r="AX19" s="280">
        <f t="shared" si="22"/>
        <v>0</v>
      </c>
      <c r="AY19" s="281">
        <v>0.25</v>
      </c>
      <c r="AZ19" s="282" t="s">
        <v>164</v>
      </c>
      <c r="BA19" s="283">
        <v>2260704886250</v>
      </c>
      <c r="BB19" s="279"/>
      <c r="BC19" s="279"/>
      <c r="BD19" s="281">
        <f t="shared" si="23"/>
        <v>0</v>
      </c>
      <c r="BE19" s="281">
        <f t="shared" si="24"/>
        <v>0</v>
      </c>
      <c r="BF19" s="281">
        <f t="shared" si="25"/>
        <v>0</v>
      </c>
      <c r="BG19" s="281">
        <f t="shared" si="26"/>
        <v>0</v>
      </c>
      <c r="BH19" s="205">
        <f t="shared" si="7"/>
        <v>0</v>
      </c>
      <c r="BI19" s="205">
        <f t="shared" si="8"/>
        <v>0</v>
      </c>
      <c r="BJ19" s="205">
        <f t="shared" si="9"/>
        <v>0</v>
      </c>
      <c r="BK19" s="205">
        <f t="shared" si="10"/>
        <v>0</v>
      </c>
      <c r="BL19" s="205">
        <f t="shared" si="27"/>
        <v>0</v>
      </c>
      <c r="BM19" s="205">
        <f t="shared" si="28"/>
        <v>0</v>
      </c>
      <c r="BN19" s="205">
        <f t="shared" si="11"/>
        <v>0</v>
      </c>
      <c r="BO19" s="205">
        <f t="shared" si="12"/>
        <v>0</v>
      </c>
      <c r="BP19" s="206"/>
      <c r="BQ19" s="277">
        <v>1</v>
      </c>
      <c r="BR19" s="208">
        <f t="shared" si="14"/>
        <v>0.58333333333333337</v>
      </c>
      <c r="BS19" s="219" t="str">
        <f t="shared" si="29"/>
        <v>Financiación UPC Régimen Contributivo CSF</v>
      </c>
      <c r="BT19" s="195">
        <f t="shared" si="13"/>
        <v>5274978067916.667</v>
      </c>
      <c r="BU19" s="196"/>
      <c r="BV19" s="196"/>
      <c r="BW19" s="196"/>
      <c r="BX19" s="196"/>
      <c r="BY19" s="196"/>
      <c r="BZ19" s="19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7" x14ac:dyDescent="0.25">
      <c r="A20" s="197">
        <v>11300</v>
      </c>
      <c r="B20" s="194" t="s">
        <v>4</v>
      </c>
      <c r="C20" s="198" t="s">
        <v>160</v>
      </c>
      <c r="D20" s="194" t="s">
        <v>145</v>
      </c>
      <c r="E20" s="198" t="s">
        <v>161</v>
      </c>
      <c r="F20" s="194" t="s">
        <v>162</v>
      </c>
      <c r="G20" s="209" t="s">
        <v>123</v>
      </c>
      <c r="H20" s="216">
        <v>1</v>
      </c>
      <c r="I20" s="198" t="s">
        <v>300</v>
      </c>
      <c r="J20" s="194" t="s">
        <v>173</v>
      </c>
      <c r="K20" s="210">
        <v>80000000000</v>
      </c>
      <c r="L20" s="220">
        <v>1.8723545712025702E-3</v>
      </c>
      <c r="M20" s="194" t="s">
        <v>46</v>
      </c>
      <c r="N20" s="194" t="s">
        <v>68</v>
      </c>
      <c r="O20" s="194" t="s">
        <v>21</v>
      </c>
      <c r="P20" s="194" t="s">
        <v>36</v>
      </c>
      <c r="Q20" s="194" t="s">
        <v>213</v>
      </c>
      <c r="R20" s="194" t="s">
        <v>182</v>
      </c>
      <c r="S20" s="194" t="s">
        <v>99</v>
      </c>
      <c r="T20" s="211">
        <v>1</v>
      </c>
      <c r="U20" s="212" t="str">
        <f t="shared" si="15"/>
        <v>Devolución de Aportes y Cotizaciones no conciliadas de vigencias anteriores</v>
      </c>
      <c r="V20" s="213">
        <f t="shared" si="15"/>
        <v>80000000000</v>
      </c>
      <c r="W20" s="214" t="s">
        <v>116</v>
      </c>
      <c r="X20" s="281">
        <v>0.25</v>
      </c>
      <c r="Y20" s="282" t="s">
        <v>173</v>
      </c>
      <c r="Z20" s="283">
        <v>20000000000</v>
      </c>
      <c r="AA20" s="279"/>
      <c r="AB20" s="279"/>
      <c r="AC20" s="280">
        <f t="shared" si="16"/>
        <v>0</v>
      </c>
      <c r="AD20" s="280">
        <f t="shared" si="17"/>
        <v>0</v>
      </c>
      <c r="AE20" s="280">
        <f t="shared" si="0"/>
        <v>0</v>
      </c>
      <c r="AF20" s="280">
        <f t="shared" si="1"/>
        <v>0</v>
      </c>
      <c r="AG20" s="281">
        <v>0.25</v>
      </c>
      <c r="AH20" s="282" t="s">
        <v>173</v>
      </c>
      <c r="AI20" s="283">
        <v>20000000000</v>
      </c>
      <c r="AJ20" s="279"/>
      <c r="AK20" s="279"/>
      <c r="AL20" s="280">
        <f t="shared" si="18"/>
        <v>0</v>
      </c>
      <c r="AM20" s="280">
        <f t="shared" si="2"/>
        <v>0</v>
      </c>
      <c r="AN20" s="280">
        <f t="shared" si="3"/>
        <v>0</v>
      </c>
      <c r="AO20" s="280">
        <f t="shared" si="4"/>
        <v>0</v>
      </c>
      <c r="AP20" s="281">
        <v>0.25</v>
      </c>
      <c r="AQ20" s="282" t="s">
        <v>173</v>
      </c>
      <c r="AR20" s="283">
        <v>20000000000</v>
      </c>
      <c r="AS20" s="279"/>
      <c r="AT20" s="279"/>
      <c r="AU20" s="280">
        <f t="shared" si="19"/>
        <v>0</v>
      </c>
      <c r="AV20" s="280">
        <f t="shared" si="20"/>
        <v>0</v>
      </c>
      <c r="AW20" s="280">
        <f t="shared" si="21"/>
        <v>0</v>
      </c>
      <c r="AX20" s="280">
        <f t="shared" si="22"/>
        <v>0</v>
      </c>
      <c r="AY20" s="281">
        <v>0.25</v>
      </c>
      <c r="AZ20" s="282" t="s">
        <v>173</v>
      </c>
      <c r="BA20" s="283">
        <v>20000000000</v>
      </c>
      <c r="BB20" s="279"/>
      <c r="BC20" s="279"/>
      <c r="BD20" s="281">
        <f t="shared" si="23"/>
        <v>0</v>
      </c>
      <c r="BE20" s="281">
        <f t="shared" si="24"/>
        <v>0</v>
      </c>
      <c r="BF20" s="281">
        <f t="shared" si="25"/>
        <v>0</v>
      </c>
      <c r="BG20" s="281">
        <f t="shared" si="26"/>
        <v>0</v>
      </c>
      <c r="BH20" s="205">
        <f t="shared" si="7"/>
        <v>0</v>
      </c>
      <c r="BI20" s="205">
        <f t="shared" si="8"/>
        <v>0</v>
      </c>
      <c r="BJ20" s="205">
        <f t="shared" si="9"/>
        <v>0</v>
      </c>
      <c r="BK20" s="205">
        <f t="shared" si="10"/>
        <v>0</v>
      </c>
      <c r="BL20" s="205">
        <f t="shared" si="27"/>
        <v>0</v>
      </c>
      <c r="BM20" s="205">
        <f t="shared" si="28"/>
        <v>0</v>
      </c>
      <c r="BN20" s="205">
        <f t="shared" si="11"/>
        <v>0</v>
      </c>
      <c r="BO20" s="205">
        <f t="shared" si="12"/>
        <v>0</v>
      </c>
      <c r="BP20" s="206"/>
      <c r="BQ20" s="277">
        <v>1</v>
      </c>
      <c r="BR20" s="208">
        <f t="shared" si="14"/>
        <v>0.58333333333333337</v>
      </c>
      <c r="BS20" s="219" t="str">
        <f t="shared" si="29"/>
        <v>Devolución de Aportes y Cotizaciones no conciliadas de vigencias anteriores</v>
      </c>
      <c r="BT20" s="195">
        <f t="shared" si="13"/>
        <v>46666666666.666664</v>
      </c>
      <c r="BU20" s="196"/>
      <c r="BV20" s="196"/>
      <c r="BW20" s="196"/>
      <c r="BX20" s="196"/>
      <c r="BY20" s="196"/>
      <c r="BZ20" s="19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7" x14ac:dyDescent="0.25">
      <c r="A21" s="197">
        <v>11300</v>
      </c>
      <c r="B21" s="194" t="s">
        <v>4</v>
      </c>
      <c r="C21" s="198" t="s">
        <v>160</v>
      </c>
      <c r="D21" s="194" t="s">
        <v>145</v>
      </c>
      <c r="E21" s="198" t="s">
        <v>161</v>
      </c>
      <c r="F21" s="194" t="s">
        <v>162</v>
      </c>
      <c r="G21" s="209" t="s">
        <v>123</v>
      </c>
      <c r="H21" s="216">
        <v>1</v>
      </c>
      <c r="I21" s="198" t="s">
        <v>301</v>
      </c>
      <c r="J21" s="194" t="s">
        <v>174</v>
      </c>
      <c r="K21" s="210">
        <v>7000000000</v>
      </c>
      <c r="L21" s="220">
        <v>1.6383102498022489E-4</v>
      </c>
      <c r="M21" s="194" t="s">
        <v>46</v>
      </c>
      <c r="N21" s="194" t="s">
        <v>68</v>
      </c>
      <c r="O21" s="194" t="s">
        <v>21</v>
      </c>
      <c r="P21" s="194" t="s">
        <v>36</v>
      </c>
      <c r="Q21" s="194" t="s">
        <v>213</v>
      </c>
      <c r="R21" s="194" t="s">
        <v>182</v>
      </c>
      <c r="S21" s="194" t="s">
        <v>99</v>
      </c>
      <c r="T21" s="211">
        <v>1</v>
      </c>
      <c r="U21" s="212" t="str">
        <f t="shared" si="15"/>
        <v>Rendimientos Financieros saldo de Aportes Patronales no compensados - Art, 12 Decreto 1363 de 2016</v>
      </c>
      <c r="V21" s="213">
        <f t="shared" si="15"/>
        <v>7000000000</v>
      </c>
      <c r="W21" s="214" t="s">
        <v>116</v>
      </c>
      <c r="X21" s="281">
        <v>0.25</v>
      </c>
      <c r="Y21" s="282" t="s">
        <v>174</v>
      </c>
      <c r="Z21" s="283">
        <v>1750000000</v>
      </c>
      <c r="AA21" s="279"/>
      <c r="AB21" s="279"/>
      <c r="AC21" s="280">
        <f t="shared" si="16"/>
        <v>0</v>
      </c>
      <c r="AD21" s="280">
        <f t="shared" si="17"/>
        <v>0</v>
      </c>
      <c r="AE21" s="280">
        <f t="shared" si="0"/>
        <v>0</v>
      </c>
      <c r="AF21" s="280">
        <f t="shared" si="1"/>
        <v>0</v>
      </c>
      <c r="AG21" s="281">
        <v>0.25</v>
      </c>
      <c r="AH21" s="282" t="s">
        <v>174</v>
      </c>
      <c r="AI21" s="283">
        <v>1750000000</v>
      </c>
      <c r="AJ21" s="279"/>
      <c r="AK21" s="279"/>
      <c r="AL21" s="280">
        <f t="shared" si="18"/>
        <v>0</v>
      </c>
      <c r="AM21" s="280">
        <f t="shared" si="2"/>
        <v>0</v>
      </c>
      <c r="AN21" s="280">
        <f t="shared" si="3"/>
        <v>0</v>
      </c>
      <c r="AO21" s="280">
        <f t="shared" si="4"/>
        <v>0</v>
      </c>
      <c r="AP21" s="281">
        <v>0.25</v>
      </c>
      <c r="AQ21" s="282" t="s">
        <v>174</v>
      </c>
      <c r="AR21" s="283">
        <v>1750000000</v>
      </c>
      <c r="AS21" s="279"/>
      <c r="AT21" s="279"/>
      <c r="AU21" s="280">
        <f t="shared" si="19"/>
        <v>0</v>
      </c>
      <c r="AV21" s="280">
        <f t="shared" si="20"/>
        <v>0</v>
      </c>
      <c r="AW21" s="280">
        <f t="shared" si="21"/>
        <v>0</v>
      </c>
      <c r="AX21" s="280">
        <f t="shared" si="22"/>
        <v>0</v>
      </c>
      <c r="AY21" s="281">
        <v>0.25</v>
      </c>
      <c r="AZ21" s="282" t="s">
        <v>174</v>
      </c>
      <c r="BA21" s="283">
        <v>1750000000</v>
      </c>
      <c r="BB21" s="279"/>
      <c r="BC21" s="279"/>
      <c r="BD21" s="281">
        <f t="shared" si="23"/>
        <v>0</v>
      </c>
      <c r="BE21" s="281">
        <f t="shared" si="24"/>
        <v>0</v>
      </c>
      <c r="BF21" s="281">
        <f t="shared" si="25"/>
        <v>0</v>
      </c>
      <c r="BG21" s="281">
        <f t="shared" si="26"/>
        <v>0</v>
      </c>
      <c r="BH21" s="205">
        <f t="shared" si="7"/>
        <v>0</v>
      </c>
      <c r="BI21" s="205">
        <f t="shared" si="8"/>
        <v>0</v>
      </c>
      <c r="BJ21" s="205">
        <f t="shared" si="9"/>
        <v>0</v>
      </c>
      <c r="BK21" s="205">
        <f t="shared" si="10"/>
        <v>0</v>
      </c>
      <c r="BL21" s="205">
        <f t="shared" si="27"/>
        <v>0</v>
      </c>
      <c r="BM21" s="205">
        <f t="shared" si="28"/>
        <v>0</v>
      </c>
      <c r="BN21" s="205">
        <f t="shared" si="11"/>
        <v>0</v>
      </c>
      <c r="BO21" s="205">
        <f t="shared" si="12"/>
        <v>0</v>
      </c>
      <c r="BP21" s="206"/>
      <c r="BQ21" s="277">
        <v>1</v>
      </c>
      <c r="BR21" s="208">
        <f t="shared" si="14"/>
        <v>0.58333333333333337</v>
      </c>
      <c r="BS21" s="219" t="str">
        <f t="shared" si="29"/>
        <v>Rendimientos Financieros saldo de Aportes Patronales no compensados - Art, 12 Decreto 1363 de 2016</v>
      </c>
      <c r="BT21" s="195">
        <f t="shared" si="13"/>
        <v>4083333333.3333335</v>
      </c>
      <c r="BU21" s="196"/>
      <c r="BV21" s="196"/>
      <c r="BW21" s="196"/>
      <c r="BX21" s="196"/>
      <c r="BY21" s="196"/>
      <c r="BZ21" s="19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7" x14ac:dyDescent="0.25">
      <c r="A22" s="197">
        <v>11300</v>
      </c>
      <c r="B22" s="194" t="s">
        <v>4</v>
      </c>
      <c r="C22" s="198" t="s">
        <v>160</v>
      </c>
      <c r="D22" s="194" t="s">
        <v>145</v>
      </c>
      <c r="E22" s="198" t="s">
        <v>161</v>
      </c>
      <c r="F22" s="194" t="s">
        <v>162</v>
      </c>
      <c r="G22" s="209" t="s">
        <v>123</v>
      </c>
      <c r="H22" s="216">
        <v>1</v>
      </c>
      <c r="I22" s="198" t="s">
        <v>302</v>
      </c>
      <c r="J22" s="194" t="s">
        <v>757</v>
      </c>
      <c r="K22" s="210">
        <v>483767006000</v>
      </c>
      <c r="L22" s="220">
        <v>1.1322292063513515E-2</v>
      </c>
      <c r="M22" s="194" t="s">
        <v>46</v>
      </c>
      <c r="N22" s="194" t="s">
        <v>68</v>
      </c>
      <c r="O22" s="194" t="s">
        <v>21</v>
      </c>
      <c r="P22" s="194" t="s">
        <v>36</v>
      </c>
      <c r="Q22" s="194" t="s">
        <v>213</v>
      </c>
      <c r="R22" s="194" t="s">
        <v>182</v>
      </c>
      <c r="S22" s="194" t="s">
        <v>99</v>
      </c>
      <c r="T22" s="211">
        <v>1</v>
      </c>
      <c r="U22" s="212" t="str">
        <f t="shared" si="15"/>
        <v>Per cápita Programas de Promoción y Prevención</v>
      </c>
      <c r="V22" s="213">
        <f t="shared" si="15"/>
        <v>483767006000</v>
      </c>
      <c r="W22" s="214" t="s">
        <v>116</v>
      </c>
      <c r="X22" s="281">
        <v>0.25</v>
      </c>
      <c r="Y22" s="282" t="s">
        <v>68</v>
      </c>
      <c r="Z22" s="283">
        <v>120941751500</v>
      </c>
      <c r="AA22" s="279"/>
      <c r="AB22" s="279"/>
      <c r="AC22" s="280">
        <f t="shared" si="16"/>
        <v>0</v>
      </c>
      <c r="AD22" s="280">
        <f t="shared" si="17"/>
        <v>0</v>
      </c>
      <c r="AE22" s="280">
        <f t="shared" si="0"/>
        <v>0</v>
      </c>
      <c r="AF22" s="280">
        <f t="shared" si="1"/>
        <v>0</v>
      </c>
      <c r="AG22" s="281">
        <v>0.25</v>
      </c>
      <c r="AH22" s="282">
        <v>483767006000</v>
      </c>
      <c r="AI22" s="283">
        <v>120941751500</v>
      </c>
      <c r="AJ22" s="279"/>
      <c r="AK22" s="279"/>
      <c r="AL22" s="280">
        <f t="shared" si="18"/>
        <v>0</v>
      </c>
      <c r="AM22" s="280">
        <f t="shared" si="2"/>
        <v>0</v>
      </c>
      <c r="AN22" s="280">
        <f t="shared" si="3"/>
        <v>0</v>
      </c>
      <c r="AO22" s="280">
        <f t="shared" si="4"/>
        <v>0</v>
      </c>
      <c r="AP22" s="281">
        <v>0.25</v>
      </c>
      <c r="AQ22" s="282">
        <v>0</v>
      </c>
      <c r="AR22" s="283">
        <v>120941751500</v>
      </c>
      <c r="AS22" s="279"/>
      <c r="AT22" s="279"/>
      <c r="AU22" s="280">
        <f t="shared" si="19"/>
        <v>0</v>
      </c>
      <c r="AV22" s="280">
        <f t="shared" si="20"/>
        <v>0</v>
      </c>
      <c r="AW22" s="280">
        <f t="shared" si="21"/>
        <v>0</v>
      </c>
      <c r="AX22" s="280">
        <f t="shared" si="22"/>
        <v>0</v>
      </c>
      <c r="AY22" s="281">
        <v>0.25</v>
      </c>
      <c r="AZ22" s="282">
        <v>0</v>
      </c>
      <c r="BA22" s="283">
        <v>120941751500</v>
      </c>
      <c r="BB22" s="279"/>
      <c r="BC22" s="279"/>
      <c r="BD22" s="281">
        <f t="shared" si="23"/>
        <v>0</v>
      </c>
      <c r="BE22" s="281">
        <f t="shared" si="24"/>
        <v>0</v>
      </c>
      <c r="BF22" s="281">
        <f t="shared" si="25"/>
        <v>0</v>
      </c>
      <c r="BG22" s="281">
        <f t="shared" si="26"/>
        <v>0</v>
      </c>
      <c r="BH22" s="205">
        <f t="shared" si="7"/>
        <v>0</v>
      </c>
      <c r="BI22" s="205">
        <f t="shared" si="8"/>
        <v>0</v>
      </c>
      <c r="BJ22" s="205">
        <f t="shared" si="9"/>
        <v>0</v>
      </c>
      <c r="BK22" s="205">
        <f t="shared" si="10"/>
        <v>0</v>
      </c>
      <c r="BL22" s="205">
        <f t="shared" si="27"/>
        <v>0</v>
      </c>
      <c r="BM22" s="205">
        <f t="shared" si="28"/>
        <v>0</v>
      </c>
      <c r="BN22" s="205">
        <f t="shared" si="11"/>
        <v>0</v>
      </c>
      <c r="BO22" s="205">
        <f t="shared" si="12"/>
        <v>0</v>
      </c>
      <c r="BP22" s="206"/>
      <c r="BQ22" s="277">
        <v>1</v>
      </c>
      <c r="BR22" s="208">
        <f t="shared" si="14"/>
        <v>0.58333333333333337</v>
      </c>
      <c r="BS22" s="219" t="str">
        <f t="shared" si="29"/>
        <v>Per cápita Programas de Promoción y Prevención</v>
      </c>
      <c r="BT22" s="195">
        <f t="shared" si="13"/>
        <v>282197420166.66669</v>
      </c>
      <c r="BU22" s="196"/>
      <c r="BV22" s="196"/>
      <c r="BW22" s="196"/>
      <c r="BX22" s="196"/>
      <c r="BY22" s="196"/>
      <c r="BZ22" s="19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7" x14ac:dyDescent="0.25">
      <c r="A23" s="197">
        <v>11300</v>
      </c>
      <c r="B23" s="194" t="s">
        <v>4</v>
      </c>
      <c r="C23" s="198" t="s">
        <v>160</v>
      </c>
      <c r="D23" s="194" t="s">
        <v>145</v>
      </c>
      <c r="E23" s="198" t="s">
        <v>161</v>
      </c>
      <c r="F23" s="194" t="s">
        <v>162</v>
      </c>
      <c r="G23" s="209" t="s">
        <v>123</v>
      </c>
      <c r="H23" s="216">
        <v>1</v>
      </c>
      <c r="I23" s="198" t="s">
        <v>303</v>
      </c>
      <c r="J23" s="194" t="s">
        <v>168</v>
      </c>
      <c r="K23" s="210">
        <v>799680177000</v>
      </c>
      <c r="L23" s="220">
        <v>1.8716060436325382E-2</v>
      </c>
      <c r="M23" s="194" t="s">
        <v>46</v>
      </c>
      <c r="N23" s="194" t="s">
        <v>68</v>
      </c>
      <c r="O23" s="194" t="s">
        <v>21</v>
      </c>
      <c r="P23" s="194" t="s">
        <v>36</v>
      </c>
      <c r="Q23" s="194" t="s">
        <v>213</v>
      </c>
      <c r="R23" s="194" t="s">
        <v>182</v>
      </c>
      <c r="S23" s="194" t="s">
        <v>99</v>
      </c>
      <c r="T23" s="211">
        <v>1</v>
      </c>
      <c r="U23" s="212" t="str">
        <f t="shared" si="15"/>
        <v>Incapacidades</v>
      </c>
      <c r="V23" s="213">
        <f t="shared" si="15"/>
        <v>799680177000</v>
      </c>
      <c r="W23" s="214" t="s">
        <v>116</v>
      </c>
      <c r="X23" s="281">
        <v>0.25</v>
      </c>
      <c r="Y23" s="282" t="s">
        <v>168</v>
      </c>
      <c r="Z23" s="283">
        <v>199920044250</v>
      </c>
      <c r="AA23" s="279"/>
      <c r="AB23" s="279"/>
      <c r="AC23" s="280">
        <f t="shared" si="16"/>
        <v>0</v>
      </c>
      <c r="AD23" s="280">
        <f t="shared" si="17"/>
        <v>0</v>
      </c>
      <c r="AE23" s="280">
        <f t="shared" si="0"/>
        <v>0</v>
      </c>
      <c r="AF23" s="280">
        <f t="shared" si="1"/>
        <v>0</v>
      </c>
      <c r="AG23" s="281">
        <v>0.25</v>
      </c>
      <c r="AH23" s="282" t="s">
        <v>168</v>
      </c>
      <c r="AI23" s="283">
        <v>199920044250</v>
      </c>
      <c r="AJ23" s="279"/>
      <c r="AK23" s="279"/>
      <c r="AL23" s="280">
        <f t="shared" si="18"/>
        <v>0</v>
      </c>
      <c r="AM23" s="280">
        <f t="shared" si="2"/>
        <v>0</v>
      </c>
      <c r="AN23" s="280">
        <f t="shared" si="3"/>
        <v>0</v>
      </c>
      <c r="AO23" s="280">
        <f t="shared" si="4"/>
        <v>0</v>
      </c>
      <c r="AP23" s="281">
        <v>0.25</v>
      </c>
      <c r="AQ23" s="282" t="s">
        <v>168</v>
      </c>
      <c r="AR23" s="283">
        <v>199920044250</v>
      </c>
      <c r="AS23" s="279"/>
      <c r="AT23" s="279"/>
      <c r="AU23" s="280">
        <f t="shared" si="19"/>
        <v>0</v>
      </c>
      <c r="AV23" s="280">
        <f t="shared" si="20"/>
        <v>0</v>
      </c>
      <c r="AW23" s="280">
        <f t="shared" si="21"/>
        <v>0</v>
      </c>
      <c r="AX23" s="280">
        <f t="shared" si="22"/>
        <v>0</v>
      </c>
      <c r="AY23" s="281">
        <v>0.25</v>
      </c>
      <c r="AZ23" s="282" t="s">
        <v>168</v>
      </c>
      <c r="BA23" s="283">
        <v>199920044250</v>
      </c>
      <c r="BB23" s="279"/>
      <c r="BC23" s="279"/>
      <c r="BD23" s="281">
        <f t="shared" si="23"/>
        <v>0</v>
      </c>
      <c r="BE23" s="281">
        <f t="shared" si="24"/>
        <v>0</v>
      </c>
      <c r="BF23" s="281">
        <f t="shared" si="25"/>
        <v>0</v>
      </c>
      <c r="BG23" s="281">
        <f t="shared" si="26"/>
        <v>0</v>
      </c>
      <c r="BH23" s="205">
        <f t="shared" si="7"/>
        <v>0</v>
      </c>
      <c r="BI23" s="205">
        <f t="shared" si="8"/>
        <v>0</v>
      </c>
      <c r="BJ23" s="205">
        <f t="shared" si="9"/>
        <v>0</v>
      </c>
      <c r="BK23" s="205">
        <f t="shared" si="10"/>
        <v>0</v>
      </c>
      <c r="BL23" s="205">
        <f t="shared" si="27"/>
        <v>0</v>
      </c>
      <c r="BM23" s="205">
        <f t="shared" si="28"/>
        <v>0</v>
      </c>
      <c r="BN23" s="205">
        <f t="shared" si="11"/>
        <v>0</v>
      </c>
      <c r="BO23" s="205">
        <f t="shared" si="12"/>
        <v>0</v>
      </c>
      <c r="BP23" s="206"/>
      <c r="BQ23" s="277">
        <v>1</v>
      </c>
      <c r="BR23" s="208">
        <f t="shared" si="14"/>
        <v>0.58333333333333337</v>
      </c>
      <c r="BS23" s="219" t="str">
        <f t="shared" si="29"/>
        <v>Incapacidades</v>
      </c>
      <c r="BT23" s="195">
        <f t="shared" si="13"/>
        <v>466480103250</v>
      </c>
      <c r="BU23" s="196"/>
      <c r="BV23" s="196"/>
      <c r="BW23" s="196"/>
      <c r="BX23" s="196"/>
      <c r="BY23" s="196"/>
      <c r="BZ23" s="19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7" x14ac:dyDescent="0.25">
      <c r="A24" s="197">
        <v>11300</v>
      </c>
      <c r="B24" s="194" t="s">
        <v>4</v>
      </c>
      <c r="C24" s="198" t="s">
        <v>160</v>
      </c>
      <c r="D24" s="194" t="s">
        <v>145</v>
      </c>
      <c r="E24" s="198" t="s">
        <v>161</v>
      </c>
      <c r="F24" s="194" t="s">
        <v>162</v>
      </c>
      <c r="G24" s="209" t="s">
        <v>123</v>
      </c>
      <c r="H24" s="216">
        <v>1</v>
      </c>
      <c r="I24" s="198" t="s">
        <v>304</v>
      </c>
      <c r="J24" s="194" t="s">
        <v>169</v>
      </c>
      <c r="K24" s="210">
        <v>720776535000</v>
      </c>
      <c r="L24" s="220">
        <v>1.6869365501534991E-2</v>
      </c>
      <c r="M24" s="194" t="s">
        <v>46</v>
      </c>
      <c r="N24" s="194" t="s">
        <v>68</v>
      </c>
      <c r="O24" s="194" t="s">
        <v>21</v>
      </c>
      <c r="P24" s="194" t="s">
        <v>36</v>
      </c>
      <c r="Q24" s="194" t="s">
        <v>213</v>
      </c>
      <c r="R24" s="194" t="s">
        <v>182</v>
      </c>
      <c r="S24" s="194" t="s">
        <v>99</v>
      </c>
      <c r="T24" s="211">
        <v>1</v>
      </c>
      <c r="U24" s="212" t="str">
        <f t="shared" si="15"/>
        <v>Licencias de Maternidad y Paternidad</v>
      </c>
      <c r="V24" s="213">
        <f t="shared" si="15"/>
        <v>720776535000</v>
      </c>
      <c r="W24" s="214" t="s">
        <v>116</v>
      </c>
      <c r="X24" s="281">
        <v>0.25</v>
      </c>
      <c r="Y24" s="282" t="s">
        <v>169</v>
      </c>
      <c r="Z24" s="283">
        <v>180194133750</v>
      </c>
      <c r="AA24" s="279"/>
      <c r="AB24" s="279"/>
      <c r="AC24" s="280">
        <f t="shared" si="16"/>
        <v>0</v>
      </c>
      <c r="AD24" s="280">
        <f t="shared" si="17"/>
        <v>0</v>
      </c>
      <c r="AE24" s="280">
        <f t="shared" si="0"/>
        <v>0</v>
      </c>
      <c r="AF24" s="280">
        <f t="shared" si="1"/>
        <v>0</v>
      </c>
      <c r="AG24" s="281">
        <v>0.25</v>
      </c>
      <c r="AH24" s="282" t="s">
        <v>169</v>
      </c>
      <c r="AI24" s="283">
        <v>180194133750</v>
      </c>
      <c r="AJ24" s="279"/>
      <c r="AK24" s="279"/>
      <c r="AL24" s="280">
        <f t="shared" si="18"/>
        <v>0</v>
      </c>
      <c r="AM24" s="280">
        <f t="shared" si="2"/>
        <v>0</v>
      </c>
      <c r="AN24" s="280">
        <f t="shared" si="3"/>
        <v>0</v>
      </c>
      <c r="AO24" s="280">
        <f t="shared" si="4"/>
        <v>0</v>
      </c>
      <c r="AP24" s="281">
        <v>0.25</v>
      </c>
      <c r="AQ24" s="282" t="s">
        <v>169</v>
      </c>
      <c r="AR24" s="283">
        <v>180194133750</v>
      </c>
      <c r="AS24" s="279"/>
      <c r="AT24" s="279"/>
      <c r="AU24" s="280">
        <f t="shared" si="19"/>
        <v>0</v>
      </c>
      <c r="AV24" s="280">
        <f t="shared" si="20"/>
        <v>0</v>
      </c>
      <c r="AW24" s="280">
        <f t="shared" si="21"/>
        <v>0</v>
      </c>
      <c r="AX24" s="280">
        <f t="shared" si="22"/>
        <v>0</v>
      </c>
      <c r="AY24" s="281">
        <v>0.25</v>
      </c>
      <c r="AZ24" s="282" t="s">
        <v>169</v>
      </c>
      <c r="BA24" s="283">
        <v>180194133750</v>
      </c>
      <c r="BB24" s="279"/>
      <c r="BC24" s="279"/>
      <c r="BD24" s="281">
        <f t="shared" si="23"/>
        <v>0</v>
      </c>
      <c r="BE24" s="281">
        <f t="shared" si="24"/>
        <v>0</v>
      </c>
      <c r="BF24" s="281">
        <f t="shared" si="25"/>
        <v>0</v>
      </c>
      <c r="BG24" s="281">
        <f t="shared" si="26"/>
        <v>0</v>
      </c>
      <c r="BH24" s="205">
        <f t="shared" si="7"/>
        <v>0</v>
      </c>
      <c r="BI24" s="205">
        <f t="shared" si="8"/>
        <v>0</v>
      </c>
      <c r="BJ24" s="205">
        <f t="shared" si="9"/>
        <v>0</v>
      </c>
      <c r="BK24" s="205">
        <f t="shared" si="10"/>
        <v>0</v>
      </c>
      <c r="BL24" s="205">
        <f t="shared" si="27"/>
        <v>0</v>
      </c>
      <c r="BM24" s="205">
        <f t="shared" si="28"/>
        <v>0</v>
      </c>
      <c r="BN24" s="205">
        <f t="shared" si="11"/>
        <v>0</v>
      </c>
      <c r="BO24" s="205">
        <f t="shared" si="12"/>
        <v>0</v>
      </c>
      <c r="BP24" s="206"/>
      <c r="BQ24" s="277">
        <v>1</v>
      </c>
      <c r="BR24" s="208">
        <f t="shared" si="14"/>
        <v>0.58333333333333337</v>
      </c>
      <c r="BS24" s="219" t="str">
        <f t="shared" si="29"/>
        <v>Licencias de Maternidad y Paternidad</v>
      </c>
      <c r="BT24" s="195">
        <f t="shared" si="13"/>
        <v>420452978750</v>
      </c>
      <c r="BU24" s="196"/>
      <c r="BV24" s="196"/>
      <c r="BW24" s="196"/>
      <c r="BX24" s="196"/>
      <c r="BY24" s="196"/>
      <c r="BZ24" s="19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7" x14ac:dyDescent="0.25">
      <c r="A25" s="197">
        <v>11300</v>
      </c>
      <c r="B25" s="194" t="s">
        <v>4</v>
      </c>
      <c r="C25" s="198" t="s">
        <v>160</v>
      </c>
      <c r="D25" s="194" t="s">
        <v>145</v>
      </c>
      <c r="E25" s="198" t="s">
        <v>161</v>
      </c>
      <c r="F25" s="194" t="s">
        <v>162</v>
      </c>
      <c r="G25" s="209" t="s">
        <v>123</v>
      </c>
      <c r="H25" s="216">
        <v>1</v>
      </c>
      <c r="I25" s="198" t="s">
        <v>305</v>
      </c>
      <c r="J25" s="194" t="s">
        <v>561</v>
      </c>
      <c r="K25" s="210">
        <v>1500000000</v>
      </c>
      <c r="L25" s="220">
        <v>3.5106648210048191E-5</v>
      </c>
      <c r="M25" s="194" t="s">
        <v>46</v>
      </c>
      <c r="N25" s="194" t="s">
        <v>68</v>
      </c>
      <c r="O25" s="194" t="s">
        <v>21</v>
      </c>
      <c r="P25" s="194" t="s">
        <v>36</v>
      </c>
      <c r="Q25" s="194" t="s">
        <v>213</v>
      </c>
      <c r="R25" s="194" t="s">
        <v>182</v>
      </c>
      <c r="S25" s="194" t="s">
        <v>99</v>
      </c>
      <c r="T25" s="211">
        <v>1</v>
      </c>
      <c r="U25" s="212" t="str">
        <f t="shared" si="15"/>
        <v>Prestaciones Económicas Regímenes Especiales de Excepción</v>
      </c>
      <c r="V25" s="213">
        <f t="shared" si="15"/>
        <v>1500000000</v>
      </c>
      <c r="W25" s="214" t="s">
        <v>116</v>
      </c>
      <c r="X25" s="281">
        <v>0.25</v>
      </c>
      <c r="Y25" s="282" t="s">
        <v>561</v>
      </c>
      <c r="Z25" s="283">
        <v>375000000</v>
      </c>
      <c r="AA25" s="279"/>
      <c r="AB25" s="279"/>
      <c r="AC25" s="280">
        <f t="shared" si="16"/>
        <v>0</v>
      </c>
      <c r="AD25" s="280">
        <f t="shared" si="17"/>
        <v>0</v>
      </c>
      <c r="AE25" s="280">
        <f t="shared" si="0"/>
        <v>0</v>
      </c>
      <c r="AF25" s="280">
        <f t="shared" si="1"/>
        <v>0</v>
      </c>
      <c r="AG25" s="281">
        <v>0.25</v>
      </c>
      <c r="AH25" s="282" t="s">
        <v>561</v>
      </c>
      <c r="AI25" s="283">
        <v>375000000</v>
      </c>
      <c r="AJ25" s="279"/>
      <c r="AK25" s="279"/>
      <c r="AL25" s="280">
        <f t="shared" si="18"/>
        <v>0</v>
      </c>
      <c r="AM25" s="280">
        <f t="shared" si="2"/>
        <v>0</v>
      </c>
      <c r="AN25" s="280">
        <f t="shared" si="3"/>
        <v>0</v>
      </c>
      <c r="AO25" s="280">
        <f t="shared" si="4"/>
        <v>0</v>
      </c>
      <c r="AP25" s="281">
        <v>0.25</v>
      </c>
      <c r="AQ25" s="282" t="s">
        <v>561</v>
      </c>
      <c r="AR25" s="283">
        <v>375000000</v>
      </c>
      <c r="AS25" s="279"/>
      <c r="AT25" s="279"/>
      <c r="AU25" s="280">
        <f t="shared" si="19"/>
        <v>0</v>
      </c>
      <c r="AV25" s="280">
        <f t="shared" si="20"/>
        <v>0</v>
      </c>
      <c r="AW25" s="280">
        <f t="shared" si="21"/>
        <v>0</v>
      </c>
      <c r="AX25" s="280">
        <f t="shared" si="22"/>
        <v>0</v>
      </c>
      <c r="AY25" s="281">
        <v>0.25</v>
      </c>
      <c r="AZ25" s="282" t="s">
        <v>561</v>
      </c>
      <c r="BA25" s="283">
        <v>375000000</v>
      </c>
      <c r="BB25" s="279"/>
      <c r="BC25" s="279"/>
      <c r="BD25" s="281">
        <f t="shared" si="23"/>
        <v>0</v>
      </c>
      <c r="BE25" s="281">
        <f t="shared" si="24"/>
        <v>0</v>
      </c>
      <c r="BF25" s="281">
        <f t="shared" si="25"/>
        <v>0</v>
      </c>
      <c r="BG25" s="281">
        <f t="shared" si="26"/>
        <v>0</v>
      </c>
      <c r="BH25" s="205">
        <f t="shared" si="7"/>
        <v>0</v>
      </c>
      <c r="BI25" s="205">
        <f t="shared" si="8"/>
        <v>0</v>
      </c>
      <c r="BJ25" s="205">
        <f t="shared" si="9"/>
        <v>0</v>
      </c>
      <c r="BK25" s="205">
        <f t="shared" si="10"/>
        <v>0</v>
      </c>
      <c r="BL25" s="205">
        <f t="shared" si="27"/>
        <v>0</v>
      </c>
      <c r="BM25" s="205">
        <f t="shared" si="28"/>
        <v>0</v>
      </c>
      <c r="BN25" s="205">
        <f t="shared" si="11"/>
        <v>0</v>
      </c>
      <c r="BO25" s="205">
        <f t="shared" si="12"/>
        <v>0</v>
      </c>
      <c r="BP25" s="206"/>
      <c r="BQ25" s="277">
        <v>1</v>
      </c>
      <c r="BR25" s="208">
        <f t="shared" si="14"/>
        <v>0.58333333333333337</v>
      </c>
      <c r="BS25" s="219" t="str">
        <f t="shared" si="29"/>
        <v>Prestaciones Económicas Regímenes Especiales de Excepción</v>
      </c>
      <c r="BT25" s="195">
        <f t="shared" si="13"/>
        <v>875000000</v>
      </c>
      <c r="BU25" s="196"/>
      <c r="BV25" s="196"/>
      <c r="BW25" s="196"/>
      <c r="BX25" s="196"/>
      <c r="BY25" s="196"/>
      <c r="BZ25" s="19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7" x14ac:dyDescent="0.25">
      <c r="A26" s="197">
        <v>11300</v>
      </c>
      <c r="B26" s="194" t="s">
        <v>4</v>
      </c>
      <c r="C26" s="198" t="s">
        <v>160</v>
      </c>
      <c r="D26" s="194" t="s">
        <v>145</v>
      </c>
      <c r="E26" s="198" t="s">
        <v>161</v>
      </c>
      <c r="F26" s="194" t="s">
        <v>162</v>
      </c>
      <c r="G26" s="209" t="s">
        <v>123</v>
      </c>
      <c r="H26" s="216">
        <v>1</v>
      </c>
      <c r="I26" s="198" t="s">
        <v>306</v>
      </c>
      <c r="J26" s="194" t="s">
        <v>170</v>
      </c>
      <c r="K26" s="210">
        <v>18712351563000</v>
      </c>
      <c r="L26" s="220">
        <v>0.43795196233665762</v>
      </c>
      <c r="M26" s="194" t="s">
        <v>46</v>
      </c>
      <c r="N26" s="194" t="s">
        <v>68</v>
      </c>
      <c r="O26" s="194" t="s">
        <v>21</v>
      </c>
      <c r="P26" s="194" t="s">
        <v>36</v>
      </c>
      <c r="Q26" s="194" t="s">
        <v>213</v>
      </c>
      <c r="R26" s="194" t="s">
        <v>182</v>
      </c>
      <c r="S26" s="194" t="s">
        <v>99</v>
      </c>
      <c r="T26" s="211">
        <v>1</v>
      </c>
      <c r="U26" s="212" t="str">
        <f t="shared" si="15"/>
        <v>Financiación UPC Régimen Subsidiado CSF</v>
      </c>
      <c r="V26" s="213">
        <f t="shared" si="15"/>
        <v>18712351563000</v>
      </c>
      <c r="W26" s="214" t="s">
        <v>116</v>
      </c>
      <c r="X26" s="281">
        <v>0.25</v>
      </c>
      <c r="Y26" s="282" t="s">
        <v>170</v>
      </c>
      <c r="Z26" s="283">
        <v>4678087890750</v>
      </c>
      <c r="AA26" s="279"/>
      <c r="AB26" s="279"/>
      <c r="AC26" s="280">
        <f t="shared" si="16"/>
        <v>0</v>
      </c>
      <c r="AD26" s="280">
        <f t="shared" si="17"/>
        <v>0</v>
      </c>
      <c r="AE26" s="280">
        <f t="shared" si="0"/>
        <v>0</v>
      </c>
      <c r="AF26" s="280">
        <f t="shared" si="1"/>
        <v>0</v>
      </c>
      <c r="AG26" s="281">
        <v>0.25</v>
      </c>
      <c r="AH26" s="282" t="s">
        <v>170</v>
      </c>
      <c r="AI26" s="283">
        <v>4678087890750</v>
      </c>
      <c r="AJ26" s="279"/>
      <c r="AK26" s="279"/>
      <c r="AL26" s="280">
        <f t="shared" si="18"/>
        <v>0</v>
      </c>
      <c r="AM26" s="280">
        <f t="shared" si="2"/>
        <v>0</v>
      </c>
      <c r="AN26" s="280">
        <f t="shared" si="3"/>
        <v>0</v>
      </c>
      <c r="AO26" s="280">
        <f t="shared" si="4"/>
        <v>0</v>
      </c>
      <c r="AP26" s="281">
        <v>0.25</v>
      </c>
      <c r="AQ26" s="282" t="s">
        <v>170</v>
      </c>
      <c r="AR26" s="283">
        <v>4678087890750</v>
      </c>
      <c r="AS26" s="279"/>
      <c r="AT26" s="279"/>
      <c r="AU26" s="280">
        <f t="shared" si="19"/>
        <v>0</v>
      </c>
      <c r="AV26" s="280">
        <f t="shared" si="20"/>
        <v>0</v>
      </c>
      <c r="AW26" s="280">
        <f t="shared" si="21"/>
        <v>0</v>
      </c>
      <c r="AX26" s="280">
        <f t="shared" si="22"/>
        <v>0</v>
      </c>
      <c r="AY26" s="281">
        <v>0.25</v>
      </c>
      <c r="AZ26" s="282" t="s">
        <v>170</v>
      </c>
      <c r="BA26" s="283">
        <v>4678087890750</v>
      </c>
      <c r="BB26" s="279"/>
      <c r="BC26" s="279"/>
      <c r="BD26" s="281">
        <f t="shared" si="23"/>
        <v>0</v>
      </c>
      <c r="BE26" s="281">
        <f t="shared" si="24"/>
        <v>0</v>
      </c>
      <c r="BF26" s="281">
        <f t="shared" si="25"/>
        <v>0</v>
      </c>
      <c r="BG26" s="281">
        <f t="shared" si="26"/>
        <v>0</v>
      </c>
      <c r="BH26" s="205">
        <f t="shared" si="7"/>
        <v>0</v>
      </c>
      <c r="BI26" s="205">
        <f t="shared" si="8"/>
        <v>0</v>
      </c>
      <c r="BJ26" s="205">
        <f t="shared" si="9"/>
        <v>0</v>
      </c>
      <c r="BK26" s="205">
        <f t="shared" si="10"/>
        <v>0</v>
      </c>
      <c r="BL26" s="205">
        <f t="shared" si="27"/>
        <v>0</v>
      </c>
      <c r="BM26" s="205">
        <f t="shared" si="28"/>
        <v>0</v>
      </c>
      <c r="BN26" s="205">
        <f t="shared" si="11"/>
        <v>0</v>
      </c>
      <c r="BO26" s="205">
        <f t="shared" si="12"/>
        <v>0</v>
      </c>
      <c r="BP26" s="206"/>
      <c r="BQ26" s="277">
        <v>1</v>
      </c>
      <c r="BR26" s="208">
        <f t="shared" si="14"/>
        <v>0.58333333333333337</v>
      </c>
      <c r="BS26" s="219" t="str">
        <f t="shared" si="29"/>
        <v>Financiación UPC Régimen Subsidiado CSF</v>
      </c>
      <c r="BT26" s="195">
        <f t="shared" si="13"/>
        <v>10915538411750</v>
      </c>
      <c r="BU26" s="196"/>
      <c r="BV26" s="196"/>
      <c r="BW26" s="196"/>
      <c r="BX26" s="196"/>
      <c r="BY26" s="196"/>
      <c r="BZ26" s="19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7" x14ac:dyDescent="0.25">
      <c r="A27" s="197">
        <v>11300</v>
      </c>
      <c r="B27" s="194" t="s">
        <v>4</v>
      </c>
      <c r="C27" s="198" t="s">
        <v>160</v>
      </c>
      <c r="D27" s="194" t="s">
        <v>145</v>
      </c>
      <c r="E27" s="198" t="s">
        <v>161</v>
      </c>
      <c r="F27" s="194" t="s">
        <v>162</v>
      </c>
      <c r="G27" s="209" t="s">
        <v>123</v>
      </c>
      <c r="H27" s="216">
        <v>1</v>
      </c>
      <c r="I27" s="198" t="s">
        <v>307</v>
      </c>
      <c r="J27" s="194" t="s">
        <v>171</v>
      </c>
      <c r="K27" s="210">
        <v>26475329000</v>
      </c>
      <c r="L27" s="220">
        <v>6.1964004096552467E-4</v>
      </c>
      <c r="M27" s="194" t="s">
        <v>46</v>
      </c>
      <c r="N27" s="194" t="s">
        <v>68</v>
      </c>
      <c r="O27" s="194" t="s">
        <v>21</v>
      </c>
      <c r="P27" s="194" t="s">
        <v>36</v>
      </c>
      <c r="Q27" s="194" t="s">
        <v>213</v>
      </c>
      <c r="R27" s="194" t="s">
        <v>182</v>
      </c>
      <c r="S27" s="194" t="s">
        <v>99</v>
      </c>
      <c r="T27" s="211">
        <v>1</v>
      </c>
      <c r="U27" s="212" t="str">
        <f t="shared" si="15"/>
        <v>Financiación UPC Régimen Subsidiado - CCF - SSF</v>
      </c>
      <c r="V27" s="213">
        <f t="shared" si="15"/>
        <v>26475329000</v>
      </c>
      <c r="W27" s="214" t="s">
        <v>116</v>
      </c>
      <c r="X27" s="281">
        <v>0.25</v>
      </c>
      <c r="Y27" s="282" t="s">
        <v>171</v>
      </c>
      <c r="Z27" s="283">
        <v>6618832250</v>
      </c>
      <c r="AA27" s="279"/>
      <c r="AB27" s="279"/>
      <c r="AC27" s="280">
        <f t="shared" si="16"/>
        <v>0</v>
      </c>
      <c r="AD27" s="280">
        <f t="shared" si="17"/>
        <v>0</v>
      </c>
      <c r="AE27" s="280">
        <f t="shared" si="0"/>
        <v>0</v>
      </c>
      <c r="AF27" s="280">
        <f t="shared" si="1"/>
        <v>0</v>
      </c>
      <c r="AG27" s="281">
        <v>0.25</v>
      </c>
      <c r="AH27" s="282" t="s">
        <v>171</v>
      </c>
      <c r="AI27" s="283">
        <v>6618832250</v>
      </c>
      <c r="AJ27" s="279"/>
      <c r="AK27" s="279"/>
      <c r="AL27" s="280">
        <f t="shared" si="18"/>
        <v>0</v>
      </c>
      <c r="AM27" s="280">
        <f t="shared" si="2"/>
        <v>0</v>
      </c>
      <c r="AN27" s="280">
        <f t="shared" si="3"/>
        <v>0</v>
      </c>
      <c r="AO27" s="280">
        <f t="shared" si="4"/>
        <v>0</v>
      </c>
      <c r="AP27" s="281">
        <v>0.25</v>
      </c>
      <c r="AQ27" s="282" t="s">
        <v>171</v>
      </c>
      <c r="AR27" s="283">
        <v>6618832250</v>
      </c>
      <c r="AS27" s="279"/>
      <c r="AT27" s="279"/>
      <c r="AU27" s="280">
        <f t="shared" si="19"/>
        <v>0</v>
      </c>
      <c r="AV27" s="280">
        <f t="shared" si="20"/>
        <v>0</v>
      </c>
      <c r="AW27" s="280">
        <f t="shared" si="21"/>
        <v>0</v>
      </c>
      <c r="AX27" s="280">
        <f t="shared" si="22"/>
        <v>0</v>
      </c>
      <c r="AY27" s="281">
        <v>0.25</v>
      </c>
      <c r="AZ27" s="282" t="s">
        <v>171</v>
      </c>
      <c r="BA27" s="283">
        <v>6618832250</v>
      </c>
      <c r="BB27" s="279"/>
      <c r="BC27" s="279"/>
      <c r="BD27" s="281">
        <f t="shared" si="23"/>
        <v>0</v>
      </c>
      <c r="BE27" s="281">
        <f t="shared" si="24"/>
        <v>0</v>
      </c>
      <c r="BF27" s="281">
        <f t="shared" si="25"/>
        <v>0</v>
      </c>
      <c r="BG27" s="281">
        <f t="shared" si="26"/>
        <v>0</v>
      </c>
      <c r="BH27" s="205">
        <f t="shared" si="7"/>
        <v>0</v>
      </c>
      <c r="BI27" s="205">
        <f t="shared" si="8"/>
        <v>0</v>
      </c>
      <c r="BJ27" s="205">
        <f t="shared" si="9"/>
        <v>0</v>
      </c>
      <c r="BK27" s="205">
        <f t="shared" si="10"/>
        <v>0</v>
      </c>
      <c r="BL27" s="205">
        <f t="shared" si="27"/>
        <v>0</v>
      </c>
      <c r="BM27" s="205">
        <f t="shared" si="28"/>
        <v>0</v>
      </c>
      <c r="BN27" s="205">
        <f t="shared" si="11"/>
        <v>0</v>
      </c>
      <c r="BO27" s="205">
        <f t="shared" si="12"/>
        <v>0</v>
      </c>
      <c r="BP27" s="206"/>
      <c r="BQ27" s="277">
        <v>1</v>
      </c>
      <c r="BR27" s="208">
        <f t="shared" si="14"/>
        <v>0.58333333333333337</v>
      </c>
      <c r="BS27" s="219" t="str">
        <f t="shared" si="29"/>
        <v>Financiación UPC Régimen Subsidiado - CCF - SSF</v>
      </c>
      <c r="BT27" s="195">
        <f t="shared" si="13"/>
        <v>15443941916.666666</v>
      </c>
      <c r="BU27" s="196"/>
      <c r="BV27" s="196"/>
      <c r="BW27" s="196"/>
      <c r="BX27" s="196"/>
      <c r="BY27" s="196"/>
      <c r="BZ27" s="19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7" x14ac:dyDescent="0.25">
      <c r="A28" s="197">
        <v>11300</v>
      </c>
      <c r="B28" s="194" t="s">
        <v>4</v>
      </c>
      <c r="C28" s="198" t="s">
        <v>160</v>
      </c>
      <c r="D28" s="194" t="s">
        <v>145</v>
      </c>
      <c r="E28" s="198" t="s">
        <v>161</v>
      </c>
      <c r="F28" s="194" t="s">
        <v>162</v>
      </c>
      <c r="G28" s="209" t="s">
        <v>123</v>
      </c>
      <c r="H28" s="216">
        <v>1</v>
      </c>
      <c r="I28" s="198" t="s">
        <v>308</v>
      </c>
      <c r="J28" s="194" t="s">
        <v>175</v>
      </c>
      <c r="K28" s="210">
        <v>210070791000</v>
      </c>
      <c r="L28" s="220">
        <v>4.9165875725623717E-3</v>
      </c>
      <c r="M28" s="194" t="s">
        <v>46</v>
      </c>
      <c r="N28" s="194" t="s">
        <v>68</v>
      </c>
      <c r="O28" s="194" t="s">
        <v>21</v>
      </c>
      <c r="P28" s="194" t="s">
        <v>36</v>
      </c>
      <c r="Q28" s="194" t="s">
        <v>213</v>
      </c>
      <c r="R28" s="194" t="s">
        <v>182</v>
      </c>
      <c r="S28" s="194" t="s">
        <v>99</v>
      </c>
      <c r="T28" s="211">
        <v>1</v>
      </c>
      <c r="U28" s="212" t="str">
        <f t="shared" si="15"/>
        <v>Prestaciones Excepcionales - Recobros</v>
      </c>
      <c r="V28" s="213">
        <f t="shared" si="15"/>
        <v>210070791000</v>
      </c>
      <c r="W28" s="214" t="s">
        <v>116</v>
      </c>
      <c r="X28" s="281">
        <v>0.25</v>
      </c>
      <c r="Y28" s="282" t="s">
        <v>175</v>
      </c>
      <c r="Z28" s="283">
        <v>52517697750</v>
      </c>
      <c r="AA28" s="279"/>
      <c r="AB28" s="279"/>
      <c r="AC28" s="280">
        <f t="shared" si="16"/>
        <v>0</v>
      </c>
      <c r="AD28" s="280">
        <f t="shared" si="17"/>
        <v>0</v>
      </c>
      <c r="AE28" s="280">
        <f t="shared" si="0"/>
        <v>0</v>
      </c>
      <c r="AF28" s="280">
        <f t="shared" si="1"/>
        <v>0</v>
      </c>
      <c r="AG28" s="281">
        <v>0.25</v>
      </c>
      <c r="AH28" s="282" t="s">
        <v>175</v>
      </c>
      <c r="AI28" s="283">
        <v>52517697750</v>
      </c>
      <c r="AJ28" s="279"/>
      <c r="AK28" s="279"/>
      <c r="AL28" s="280">
        <f t="shared" si="18"/>
        <v>0</v>
      </c>
      <c r="AM28" s="280">
        <f t="shared" si="2"/>
        <v>0</v>
      </c>
      <c r="AN28" s="280">
        <f t="shared" si="3"/>
        <v>0</v>
      </c>
      <c r="AO28" s="280">
        <f t="shared" si="4"/>
        <v>0</v>
      </c>
      <c r="AP28" s="281">
        <v>0.25</v>
      </c>
      <c r="AQ28" s="282" t="s">
        <v>175</v>
      </c>
      <c r="AR28" s="283">
        <v>52517697750</v>
      </c>
      <c r="AS28" s="279"/>
      <c r="AT28" s="279"/>
      <c r="AU28" s="280">
        <f t="shared" si="19"/>
        <v>0</v>
      </c>
      <c r="AV28" s="280">
        <f t="shared" si="20"/>
        <v>0</v>
      </c>
      <c r="AW28" s="280">
        <f t="shared" si="21"/>
        <v>0</v>
      </c>
      <c r="AX28" s="280">
        <f t="shared" si="22"/>
        <v>0</v>
      </c>
      <c r="AY28" s="281">
        <v>0.25</v>
      </c>
      <c r="AZ28" s="282" t="s">
        <v>175</v>
      </c>
      <c r="BA28" s="283">
        <v>52517697750</v>
      </c>
      <c r="BB28" s="279"/>
      <c r="BC28" s="279"/>
      <c r="BD28" s="281">
        <f t="shared" si="23"/>
        <v>0</v>
      </c>
      <c r="BE28" s="281">
        <f t="shared" si="24"/>
        <v>0</v>
      </c>
      <c r="BF28" s="281">
        <f t="shared" si="25"/>
        <v>0</v>
      </c>
      <c r="BG28" s="281">
        <f t="shared" si="26"/>
        <v>0</v>
      </c>
      <c r="BH28" s="205">
        <f t="shared" si="7"/>
        <v>0</v>
      </c>
      <c r="BI28" s="205">
        <f t="shared" si="8"/>
        <v>0</v>
      </c>
      <c r="BJ28" s="205">
        <f t="shared" si="9"/>
        <v>0</v>
      </c>
      <c r="BK28" s="205">
        <f t="shared" si="10"/>
        <v>0</v>
      </c>
      <c r="BL28" s="205">
        <f t="shared" si="27"/>
        <v>0</v>
      </c>
      <c r="BM28" s="205">
        <f t="shared" si="28"/>
        <v>0</v>
      </c>
      <c r="BN28" s="205">
        <f t="shared" si="11"/>
        <v>0</v>
      </c>
      <c r="BO28" s="205">
        <f t="shared" si="12"/>
        <v>0</v>
      </c>
      <c r="BP28" s="206"/>
      <c r="BQ28" s="277">
        <v>10</v>
      </c>
      <c r="BR28" s="208">
        <f t="shared" si="14"/>
        <v>0.58333333333333337</v>
      </c>
      <c r="BS28" s="219" t="str">
        <f t="shared" si="29"/>
        <v>Prestaciones Excepcionales - Recobros</v>
      </c>
      <c r="BT28" s="195">
        <f t="shared" si="13"/>
        <v>122541294750</v>
      </c>
      <c r="BU28" s="196"/>
      <c r="BV28" s="196"/>
      <c r="BW28" s="196"/>
      <c r="BX28" s="196"/>
      <c r="BY28" s="196"/>
      <c r="BZ28" s="19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7" x14ac:dyDescent="0.25">
      <c r="A29" s="197">
        <v>11300</v>
      </c>
      <c r="B29" s="194" t="s">
        <v>4</v>
      </c>
      <c r="C29" s="198" t="s">
        <v>160</v>
      </c>
      <c r="D29" s="194" t="s">
        <v>145</v>
      </c>
      <c r="E29" s="198" t="s">
        <v>161</v>
      </c>
      <c r="F29" s="194" t="s">
        <v>162</v>
      </c>
      <c r="G29" s="209" t="s">
        <v>123</v>
      </c>
      <c r="H29" s="216">
        <v>1</v>
      </c>
      <c r="I29" s="198" t="s">
        <v>309</v>
      </c>
      <c r="J29" s="194" t="s">
        <v>172</v>
      </c>
      <c r="K29" s="210">
        <v>165927919000</v>
      </c>
      <c r="L29" s="220">
        <v>3.8834487203722474E-3</v>
      </c>
      <c r="M29" s="194" t="s">
        <v>46</v>
      </c>
      <c r="N29" s="194" t="s">
        <v>68</v>
      </c>
      <c r="O29" s="194" t="s">
        <v>21</v>
      </c>
      <c r="P29" s="194" t="s">
        <v>36</v>
      </c>
      <c r="Q29" s="194" t="s">
        <v>213</v>
      </c>
      <c r="R29" s="194" t="s">
        <v>182</v>
      </c>
      <c r="S29" s="194" t="s">
        <v>99</v>
      </c>
      <c r="T29" s="211">
        <v>1</v>
      </c>
      <c r="U29" s="212" t="str">
        <f t="shared" si="15"/>
        <v>Atención en salud, transporte primario, indemnizaciones y auxilios funerarios víctimas</v>
      </c>
      <c r="V29" s="213">
        <f t="shared" si="15"/>
        <v>165927919000</v>
      </c>
      <c r="W29" s="214" t="s">
        <v>116</v>
      </c>
      <c r="X29" s="281">
        <v>0.25</v>
      </c>
      <c r="Y29" s="282" t="s">
        <v>172</v>
      </c>
      <c r="Z29" s="283">
        <v>41481979750</v>
      </c>
      <c r="AA29" s="279"/>
      <c r="AB29" s="279"/>
      <c r="AC29" s="280">
        <f t="shared" si="16"/>
        <v>0</v>
      </c>
      <c r="AD29" s="280">
        <f t="shared" si="17"/>
        <v>0</v>
      </c>
      <c r="AE29" s="280">
        <f t="shared" si="0"/>
        <v>0</v>
      </c>
      <c r="AF29" s="280">
        <f t="shared" si="1"/>
        <v>0</v>
      </c>
      <c r="AG29" s="281">
        <v>0.25</v>
      </c>
      <c r="AH29" s="282" t="s">
        <v>172</v>
      </c>
      <c r="AI29" s="283">
        <v>41481979750</v>
      </c>
      <c r="AJ29" s="279"/>
      <c r="AK29" s="279"/>
      <c r="AL29" s="280">
        <f t="shared" si="18"/>
        <v>0</v>
      </c>
      <c r="AM29" s="280">
        <f t="shared" si="2"/>
        <v>0</v>
      </c>
      <c r="AN29" s="280">
        <f t="shared" si="3"/>
        <v>0</v>
      </c>
      <c r="AO29" s="280">
        <f t="shared" si="4"/>
        <v>0</v>
      </c>
      <c r="AP29" s="281">
        <v>0.25</v>
      </c>
      <c r="AQ29" s="282" t="s">
        <v>172</v>
      </c>
      <c r="AR29" s="283">
        <v>41481979750</v>
      </c>
      <c r="AS29" s="279"/>
      <c r="AT29" s="279"/>
      <c r="AU29" s="280">
        <f t="shared" si="19"/>
        <v>0</v>
      </c>
      <c r="AV29" s="280">
        <f t="shared" si="20"/>
        <v>0</v>
      </c>
      <c r="AW29" s="280">
        <f t="shared" si="21"/>
        <v>0</v>
      </c>
      <c r="AX29" s="280">
        <f t="shared" si="22"/>
        <v>0</v>
      </c>
      <c r="AY29" s="281">
        <v>0.25</v>
      </c>
      <c r="AZ29" s="282" t="s">
        <v>172</v>
      </c>
      <c r="BA29" s="283">
        <v>41481979750</v>
      </c>
      <c r="BB29" s="279"/>
      <c r="BC29" s="279"/>
      <c r="BD29" s="281">
        <f t="shared" si="23"/>
        <v>0</v>
      </c>
      <c r="BE29" s="281">
        <f t="shared" si="24"/>
        <v>0</v>
      </c>
      <c r="BF29" s="281">
        <f t="shared" si="25"/>
        <v>0</v>
      </c>
      <c r="BG29" s="281">
        <f t="shared" si="26"/>
        <v>0</v>
      </c>
      <c r="BH29" s="205">
        <f t="shared" si="7"/>
        <v>0</v>
      </c>
      <c r="BI29" s="205">
        <f t="shared" si="8"/>
        <v>0</v>
      </c>
      <c r="BJ29" s="205">
        <f t="shared" si="9"/>
        <v>0</v>
      </c>
      <c r="BK29" s="205">
        <f t="shared" si="10"/>
        <v>0</v>
      </c>
      <c r="BL29" s="205">
        <f t="shared" si="27"/>
        <v>0</v>
      </c>
      <c r="BM29" s="205">
        <f t="shared" si="28"/>
        <v>0</v>
      </c>
      <c r="BN29" s="205">
        <f t="shared" si="11"/>
        <v>0</v>
      </c>
      <c r="BO29" s="205">
        <f t="shared" si="12"/>
        <v>0</v>
      </c>
      <c r="BP29" s="206"/>
      <c r="BQ29" s="277">
        <v>10</v>
      </c>
      <c r="BR29" s="208">
        <f t="shared" si="14"/>
        <v>0.58333333333333337</v>
      </c>
      <c r="BS29" s="219" t="str">
        <f t="shared" si="29"/>
        <v>Atención en salud, transporte primario, indemnizaciones y auxilios funerarios víctimas</v>
      </c>
      <c r="BT29" s="195">
        <f t="shared" si="13"/>
        <v>96791286083.333328</v>
      </c>
      <c r="BU29" s="196"/>
      <c r="BV29" s="196"/>
      <c r="BW29" s="196"/>
      <c r="BX29" s="196"/>
      <c r="BY29" s="196"/>
      <c r="BZ29" s="19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7" x14ac:dyDescent="0.25">
      <c r="A30" s="197">
        <v>11300</v>
      </c>
      <c r="B30" s="194" t="s">
        <v>4</v>
      </c>
      <c r="C30" s="198" t="s">
        <v>160</v>
      </c>
      <c r="D30" s="194" t="s">
        <v>145</v>
      </c>
      <c r="E30" s="198" t="s">
        <v>161</v>
      </c>
      <c r="F30" s="194" t="s">
        <v>162</v>
      </c>
      <c r="G30" s="209" t="s">
        <v>123</v>
      </c>
      <c r="H30" s="216">
        <v>1</v>
      </c>
      <c r="I30" s="198" t="s">
        <v>310</v>
      </c>
      <c r="J30" s="194" t="s">
        <v>176</v>
      </c>
      <c r="K30" s="210">
        <v>3872113000</v>
      </c>
      <c r="L30" s="220">
        <v>9.0624605947036218E-5</v>
      </c>
      <c r="M30" s="194" t="s">
        <v>46</v>
      </c>
      <c r="N30" s="194" t="s">
        <v>68</v>
      </c>
      <c r="O30" s="194" t="s">
        <v>21</v>
      </c>
      <c r="P30" s="194" t="s">
        <v>36</v>
      </c>
      <c r="Q30" s="194" t="s">
        <v>213</v>
      </c>
      <c r="R30" s="194" t="s">
        <v>182</v>
      </c>
      <c r="S30" s="194" t="s">
        <v>99</v>
      </c>
      <c r="T30" s="211">
        <v>1</v>
      </c>
      <c r="U30" s="212" t="str">
        <f t="shared" si="15"/>
        <v>Fortalecimiento red de urgencias nacional, emergencias sanitarias y eventos catastróficos</v>
      </c>
      <c r="V30" s="213">
        <f t="shared" si="15"/>
        <v>3872113000</v>
      </c>
      <c r="W30" s="214" t="s">
        <v>116</v>
      </c>
      <c r="X30" s="281">
        <v>0.25</v>
      </c>
      <c r="Y30" s="282" t="s">
        <v>176</v>
      </c>
      <c r="Z30" s="283">
        <v>968028250</v>
      </c>
      <c r="AA30" s="279"/>
      <c r="AB30" s="279"/>
      <c r="AC30" s="280">
        <f t="shared" si="16"/>
        <v>0</v>
      </c>
      <c r="AD30" s="280">
        <f t="shared" si="17"/>
        <v>0</v>
      </c>
      <c r="AE30" s="280">
        <f t="shared" si="0"/>
        <v>0</v>
      </c>
      <c r="AF30" s="280">
        <f t="shared" si="1"/>
        <v>0</v>
      </c>
      <c r="AG30" s="281">
        <v>0.25</v>
      </c>
      <c r="AH30" s="282" t="s">
        <v>176</v>
      </c>
      <c r="AI30" s="283">
        <v>968028250</v>
      </c>
      <c r="AJ30" s="279"/>
      <c r="AK30" s="279"/>
      <c r="AL30" s="280">
        <f t="shared" si="18"/>
        <v>0</v>
      </c>
      <c r="AM30" s="280">
        <f t="shared" si="2"/>
        <v>0</v>
      </c>
      <c r="AN30" s="280">
        <f t="shared" si="3"/>
        <v>0</v>
      </c>
      <c r="AO30" s="280">
        <f t="shared" si="4"/>
        <v>0</v>
      </c>
      <c r="AP30" s="281">
        <v>0.25</v>
      </c>
      <c r="AQ30" s="282" t="s">
        <v>176</v>
      </c>
      <c r="AR30" s="283">
        <v>968028250</v>
      </c>
      <c r="AS30" s="279"/>
      <c r="AT30" s="279"/>
      <c r="AU30" s="280">
        <f t="shared" si="19"/>
        <v>0</v>
      </c>
      <c r="AV30" s="280">
        <f t="shared" si="20"/>
        <v>0</v>
      </c>
      <c r="AW30" s="280">
        <f t="shared" si="21"/>
        <v>0</v>
      </c>
      <c r="AX30" s="280">
        <f t="shared" si="22"/>
        <v>0</v>
      </c>
      <c r="AY30" s="281">
        <v>0.25</v>
      </c>
      <c r="AZ30" s="282" t="s">
        <v>176</v>
      </c>
      <c r="BA30" s="283">
        <v>968028250</v>
      </c>
      <c r="BB30" s="279"/>
      <c r="BC30" s="279"/>
      <c r="BD30" s="281">
        <f t="shared" si="23"/>
        <v>0</v>
      </c>
      <c r="BE30" s="281">
        <f t="shared" si="24"/>
        <v>0</v>
      </c>
      <c r="BF30" s="281">
        <f t="shared" si="25"/>
        <v>0</v>
      </c>
      <c r="BG30" s="281">
        <f t="shared" si="26"/>
        <v>0</v>
      </c>
      <c r="BH30" s="205">
        <f t="shared" si="7"/>
        <v>0</v>
      </c>
      <c r="BI30" s="205">
        <f t="shared" si="8"/>
        <v>0</v>
      </c>
      <c r="BJ30" s="205">
        <f t="shared" si="9"/>
        <v>0</v>
      </c>
      <c r="BK30" s="205">
        <f t="shared" si="10"/>
        <v>0</v>
      </c>
      <c r="BL30" s="205">
        <f t="shared" si="27"/>
        <v>0</v>
      </c>
      <c r="BM30" s="205">
        <f t="shared" si="28"/>
        <v>0</v>
      </c>
      <c r="BN30" s="205">
        <f t="shared" si="11"/>
        <v>0</v>
      </c>
      <c r="BO30" s="205">
        <f t="shared" si="12"/>
        <v>0</v>
      </c>
      <c r="BP30" s="206"/>
      <c r="BQ30" s="277">
        <v>10</v>
      </c>
      <c r="BR30" s="208">
        <f t="shared" si="14"/>
        <v>0.58333333333333337</v>
      </c>
      <c r="BS30" s="219" t="str">
        <f t="shared" si="29"/>
        <v>Fortalecimiento red de urgencias nacional, emergencias sanitarias y eventos catastróficos</v>
      </c>
      <c r="BT30" s="195">
        <f t="shared" si="13"/>
        <v>2258732583.3333335</v>
      </c>
      <c r="BU30" s="196"/>
      <c r="BV30" s="196"/>
      <c r="BW30" s="196"/>
      <c r="BX30" s="196"/>
      <c r="BY30" s="196"/>
      <c r="BZ30" s="19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7" x14ac:dyDescent="0.25">
      <c r="A31" s="197">
        <v>11300</v>
      </c>
      <c r="B31" s="194" t="s">
        <v>4</v>
      </c>
      <c r="C31" s="198" t="s">
        <v>160</v>
      </c>
      <c r="D31" s="194" t="s">
        <v>145</v>
      </c>
      <c r="E31" s="198" t="s">
        <v>161</v>
      </c>
      <c r="F31" s="194" t="s">
        <v>162</v>
      </c>
      <c r="G31" s="209" t="s">
        <v>123</v>
      </c>
      <c r="H31" s="216">
        <v>1</v>
      </c>
      <c r="I31" s="198" t="s">
        <v>311</v>
      </c>
      <c r="J31" s="194" t="s">
        <v>177</v>
      </c>
      <c r="K31" s="210">
        <v>20994082000</v>
      </c>
      <c r="L31" s="220">
        <v>4.9135456751127002E-4</v>
      </c>
      <c r="M31" s="194" t="s">
        <v>46</v>
      </c>
      <c r="N31" s="194" t="s">
        <v>68</v>
      </c>
      <c r="O31" s="194" t="s">
        <v>21</v>
      </c>
      <c r="P31" s="194" t="s">
        <v>36</v>
      </c>
      <c r="Q31" s="194" t="s">
        <v>213</v>
      </c>
      <c r="R31" s="194" t="s">
        <v>182</v>
      </c>
      <c r="S31" s="194" t="s">
        <v>99</v>
      </c>
      <c r="T31" s="211">
        <v>1</v>
      </c>
      <c r="U31" s="212" t="str">
        <f t="shared" si="15"/>
        <v>Otros programas de salud promoción y prevención</v>
      </c>
      <c r="V31" s="213">
        <f t="shared" si="15"/>
        <v>20994082000</v>
      </c>
      <c r="W31" s="214" t="s">
        <v>116</v>
      </c>
      <c r="X31" s="281">
        <v>0.25</v>
      </c>
      <c r="Y31" s="282" t="s">
        <v>177</v>
      </c>
      <c r="Z31" s="283">
        <v>5248520500</v>
      </c>
      <c r="AA31" s="279"/>
      <c r="AB31" s="279"/>
      <c r="AC31" s="280">
        <f t="shared" si="16"/>
        <v>0</v>
      </c>
      <c r="AD31" s="280">
        <f t="shared" si="17"/>
        <v>0</v>
      </c>
      <c r="AE31" s="280">
        <f t="shared" si="0"/>
        <v>0</v>
      </c>
      <c r="AF31" s="280">
        <f t="shared" si="1"/>
        <v>0</v>
      </c>
      <c r="AG31" s="281">
        <v>0.25</v>
      </c>
      <c r="AH31" s="282" t="s">
        <v>177</v>
      </c>
      <c r="AI31" s="283">
        <v>5248520500</v>
      </c>
      <c r="AJ31" s="279"/>
      <c r="AK31" s="279"/>
      <c r="AL31" s="280">
        <f t="shared" si="18"/>
        <v>0</v>
      </c>
      <c r="AM31" s="280">
        <f t="shared" si="2"/>
        <v>0</v>
      </c>
      <c r="AN31" s="280">
        <f t="shared" si="3"/>
        <v>0</v>
      </c>
      <c r="AO31" s="280">
        <f t="shared" si="4"/>
        <v>0</v>
      </c>
      <c r="AP31" s="281">
        <v>0.25</v>
      </c>
      <c r="AQ31" s="282" t="s">
        <v>177</v>
      </c>
      <c r="AR31" s="283">
        <v>5248520500</v>
      </c>
      <c r="AS31" s="279"/>
      <c r="AT31" s="279"/>
      <c r="AU31" s="280">
        <f t="shared" si="19"/>
        <v>0</v>
      </c>
      <c r="AV31" s="280">
        <f t="shared" si="20"/>
        <v>0</v>
      </c>
      <c r="AW31" s="280">
        <f t="shared" si="21"/>
        <v>0</v>
      </c>
      <c r="AX31" s="280">
        <f t="shared" si="22"/>
        <v>0</v>
      </c>
      <c r="AY31" s="281">
        <v>0.25</v>
      </c>
      <c r="AZ31" s="282" t="s">
        <v>177</v>
      </c>
      <c r="BA31" s="283">
        <v>5248520500</v>
      </c>
      <c r="BB31" s="279"/>
      <c r="BC31" s="279"/>
      <c r="BD31" s="281">
        <f t="shared" si="23"/>
        <v>0</v>
      </c>
      <c r="BE31" s="281">
        <f t="shared" si="24"/>
        <v>0</v>
      </c>
      <c r="BF31" s="281">
        <f t="shared" si="25"/>
        <v>0</v>
      </c>
      <c r="BG31" s="281">
        <f t="shared" si="26"/>
        <v>0</v>
      </c>
      <c r="BH31" s="205">
        <f t="shared" si="7"/>
        <v>0</v>
      </c>
      <c r="BI31" s="205">
        <f t="shared" si="8"/>
        <v>0</v>
      </c>
      <c r="BJ31" s="205">
        <f t="shared" si="9"/>
        <v>0</v>
      </c>
      <c r="BK31" s="205">
        <f t="shared" si="10"/>
        <v>0</v>
      </c>
      <c r="BL31" s="205">
        <f t="shared" si="27"/>
        <v>0</v>
      </c>
      <c r="BM31" s="205">
        <f t="shared" si="28"/>
        <v>0</v>
      </c>
      <c r="BN31" s="205">
        <f t="shared" si="11"/>
        <v>0</v>
      </c>
      <c r="BO31" s="205">
        <f t="shared" si="12"/>
        <v>0</v>
      </c>
      <c r="BP31" s="206"/>
      <c r="BQ31" s="277">
        <v>1</v>
      </c>
      <c r="BR31" s="208">
        <f t="shared" si="14"/>
        <v>0.58333333333333337</v>
      </c>
      <c r="BS31" s="219" t="str">
        <f t="shared" si="29"/>
        <v>Otros programas de salud promoción y prevención</v>
      </c>
      <c r="BT31" s="195">
        <f t="shared" si="13"/>
        <v>12246547833.333334</v>
      </c>
      <c r="BU31" s="196"/>
      <c r="BV31" s="196"/>
      <c r="BW31" s="196"/>
      <c r="BX31" s="196"/>
      <c r="BY31" s="196"/>
      <c r="BZ31" s="19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7" x14ac:dyDescent="0.25">
      <c r="A32" s="197">
        <v>11300</v>
      </c>
      <c r="B32" s="194" t="s">
        <v>4</v>
      </c>
      <c r="C32" s="198" t="s">
        <v>160</v>
      </c>
      <c r="D32" s="194" t="s">
        <v>145</v>
      </c>
      <c r="E32" s="198" t="s">
        <v>161</v>
      </c>
      <c r="F32" s="194" t="s">
        <v>162</v>
      </c>
      <c r="G32" s="209" t="s">
        <v>123</v>
      </c>
      <c r="H32" s="216">
        <v>1</v>
      </c>
      <c r="I32" s="198" t="s">
        <v>312</v>
      </c>
      <c r="J32" s="194" t="s">
        <v>178</v>
      </c>
      <c r="K32" s="210">
        <v>161564182000</v>
      </c>
      <c r="L32" s="220">
        <v>3.7813179338788E-3</v>
      </c>
      <c r="M32" s="194" t="s">
        <v>46</v>
      </c>
      <c r="N32" s="194" t="s">
        <v>68</v>
      </c>
      <c r="O32" s="194" t="s">
        <v>21</v>
      </c>
      <c r="P32" s="194" t="s">
        <v>36</v>
      </c>
      <c r="Q32" s="194" t="s">
        <v>213</v>
      </c>
      <c r="R32" s="194" t="s">
        <v>182</v>
      </c>
      <c r="S32" s="194" t="s">
        <v>99</v>
      </c>
      <c r="T32" s="211">
        <v>1</v>
      </c>
      <c r="U32" s="212" t="str">
        <f t="shared" si="15"/>
        <v>Recursos con destinación especifica</v>
      </c>
      <c r="V32" s="213">
        <f t="shared" si="15"/>
        <v>161564182000</v>
      </c>
      <c r="W32" s="214" t="s">
        <v>116</v>
      </c>
      <c r="X32" s="281">
        <v>0.25</v>
      </c>
      <c r="Y32" s="282" t="s">
        <v>178</v>
      </c>
      <c r="Z32" s="283">
        <v>40391045500</v>
      </c>
      <c r="AA32" s="279"/>
      <c r="AB32" s="279"/>
      <c r="AC32" s="280">
        <f t="shared" si="16"/>
        <v>0</v>
      </c>
      <c r="AD32" s="280">
        <f t="shared" si="17"/>
        <v>0</v>
      </c>
      <c r="AE32" s="280">
        <f t="shared" si="0"/>
        <v>0</v>
      </c>
      <c r="AF32" s="280">
        <f t="shared" si="1"/>
        <v>0</v>
      </c>
      <c r="AG32" s="281">
        <v>0.25</v>
      </c>
      <c r="AH32" s="282" t="s">
        <v>178</v>
      </c>
      <c r="AI32" s="283">
        <v>40391045500</v>
      </c>
      <c r="AJ32" s="279"/>
      <c r="AK32" s="279"/>
      <c r="AL32" s="280">
        <f t="shared" si="18"/>
        <v>0</v>
      </c>
      <c r="AM32" s="280">
        <f t="shared" si="2"/>
        <v>0</v>
      </c>
      <c r="AN32" s="280">
        <f t="shared" si="3"/>
        <v>0</v>
      </c>
      <c r="AO32" s="280">
        <f t="shared" si="4"/>
        <v>0</v>
      </c>
      <c r="AP32" s="281">
        <v>0.25</v>
      </c>
      <c r="AQ32" s="282" t="s">
        <v>178</v>
      </c>
      <c r="AR32" s="283">
        <v>40391045500</v>
      </c>
      <c r="AS32" s="279"/>
      <c r="AT32" s="279"/>
      <c r="AU32" s="280">
        <f t="shared" si="19"/>
        <v>0</v>
      </c>
      <c r="AV32" s="280">
        <f t="shared" si="20"/>
        <v>0</v>
      </c>
      <c r="AW32" s="280">
        <f t="shared" si="21"/>
        <v>0</v>
      </c>
      <c r="AX32" s="280">
        <f t="shared" si="22"/>
        <v>0</v>
      </c>
      <c r="AY32" s="281">
        <v>0.25</v>
      </c>
      <c r="AZ32" s="282" t="s">
        <v>178</v>
      </c>
      <c r="BA32" s="283">
        <v>40391045500</v>
      </c>
      <c r="BB32" s="279"/>
      <c r="BC32" s="279"/>
      <c r="BD32" s="281">
        <f t="shared" si="23"/>
        <v>0</v>
      </c>
      <c r="BE32" s="281">
        <f t="shared" si="24"/>
        <v>0</v>
      </c>
      <c r="BF32" s="281">
        <f t="shared" si="25"/>
        <v>0</v>
      </c>
      <c r="BG32" s="281">
        <f t="shared" si="26"/>
        <v>0</v>
      </c>
      <c r="BH32" s="205">
        <f t="shared" si="7"/>
        <v>0</v>
      </c>
      <c r="BI32" s="205">
        <f t="shared" si="8"/>
        <v>0</v>
      </c>
      <c r="BJ32" s="205">
        <f t="shared" si="9"/>
        <v>0</v>
      </c>
      <c r="BK32" s="205">
        <f t="shared" si="10"/>
        <v>0</v>
      </c>
      <c r="BL32" s="205">
        <f t="shared" si="27"/>
        <v>0</v>
      </c>
      <c r="BM32" s="205">
        <f t="shared" si="28"/>
        <v>0</v>
      </c>
      <c r="BN32" s="205">
        <f t="shared" si="11"/>
        <v>0</v>
      </c>
      <c r="BO32" s="205">
        <f t="shared" si="12"/>
        <v>0</v>
      </c>
      <c r="BP32" s="206"/>
      <c r="BQ32" s="277">
        <v>1</v>
      </c>
      <c r="BR32" s="208">
        <f t="shared" si="14"/>
        <v>0.58333333333333337</v>
      </c>
      <c r="BS32" s="219" t="str">
        <f t="shared" si="29"/>
        <v>Recursos con destinación especifica</v>
      </c>
      <c r="BT32" s="195">
        <f t="shared" si="13"/>
        <v>94245772833.333328</v>
      </c>
      <c r="BU32" s="196"/>
      <c r="BV32" s="196"/>
      <c r="BW32" s="196"/>
      <c r="BX32" s="196"/>
      <c r="BY32" s="196"/>
      <c r="BZ32" s="19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7" x14ac:dyDescent="0.25">
      <c r="A33" s="197">
        <v>11300</v>
      </c>
      <c r="B33" s="194" t="s">
        <v>4</v>
      </c>
      <c r="C33" s="198" t="s">
        <v>160</v>
      </c>
      <c r="D33" s="194" t="s">
        <v>145</v>
      </c>
      <c r="E33" s="198" t="s">
        <v>161</v>
      </c>
      <c r="F33" s="194" t="s">
        <v>162</v>
      </c>
      <c r="G33" s="209" t="s">
        <v>123</v>
      </c>
      <c r="H33" s="216">
        <v>1</v>
      </c>
      <c r="I33" s="198" t="s">
        <v>313</v>
      </c>
      <c r="J33" s="194" t="s">
        <v>179</v>
      </c>
      <c r="K33" s="210">
        <v>51737471000</v>
      </c>
      <c r="L33" s="220">
        <v>1.2108861291163801E-3</v>
      </c>
      <c r="M33" s="194" t="s">
        <v>46</v>
      </c>
      <c r="N33" s="194" t="s">
        <v>68</v>
      </c>
      <c r="O33" s="194" t="s">
        <v>21</v>
      </c>
      <c r="P33" s="194" t="s">
        <v>36</v>
      </c>
      <c r="Q33" s="194" t="s">
        <v>213</v>
      </c>
      <c r="R33" s="194" t="s">
        <v>182</v>
      </c>
      <c r="S33" s="194" t="s">
        <v>99</v>
      </c>
      <c r="T33" s="211">
        <v>1</v>
      </c>
      <c r="U33" s="212" t="str">
        <f t="shared" si="15"/>
        <v>FONSAET</v>
      </c>
      <c r="V33" s="213">
        <f t="shared" si="15"/>
        <v>51737471000</v>
      </c>
      <c r="W33" s="214" t="s">
        <v>116</v>
      </c>
      <c r="X33" s="281">
        <v>0.25</v>
      </c>
      <c r="Y33" s="282" t="s">
        <v>179</v>
      </c>
      <c r="Z33" s="283">
        <v>12934367750</v>
      </c>
      <c r="AA33" s="279"/>
      <c r="AB33" s="279"/>
      <c r="AC33" s="280">
        <f t="shared" si="16"/>
        <v>0</v>
      </c>
      <c r="AD33" s="280">
        <f t="shared" si="17"/>
        <v>0</v>
      </c>
      <c r="AE33" s="280">
        <f t="shared" si="0"/>
        <v>0</v>
      </c>
      <c r="AF33" s="280">
        <f t="shared" si="1"/>
        <v>0</v>
      </c>
      <c r="AG33" s="281">
        <v>0.25</v>
      </c>
      <c r="AH33" s="282" t="s">
        <v>179</v>
      </c>
      <c r="AI33" s="283">
        <v>12934367750</v>
      </c>
      <c r="AJ33" s="279"/>
      <c r="AK33" s="279"/>
      <c r="AL33" s="280">
        <f>+(AJ33/AG33)</f>
        <v>0</v>
      </c>
      <c r="AM33" s="280">
        <f>+(AK33/AI33)</f>
        <v>0</v>
      </c>
      <c r="AN33" s="280">
        <f>+(AJ33+AA33)/T33</f>
        <v>0</v>
      </c>
      <c r="AO33" s="280">
        <f>+(AK33+AB33)/V33</f>
        <v>0</v>
      </c>
      <c r="AP33" s="281">
        <v>0.25</v>
      </c>
      <c r="AQ33" s="282" t="s">
        <v>179</v>
      </c>
      <c r="AR33" s="283">
        <v>12934367750</v>
      </c>
      <c r="AS33" s="279"/>
      <c r="AT33" s="279"/>
      <c r="AU33" s="280">
        <f t="shared" si="19"/>
        <v>0</v>
      </c>
      <c r="AV33" s="280">
        <f t="shared" si="20"/>
        <v>0</v>
      </c>
      <c r="AW33" s="280">
        <f t="shared" si="21"/>
        <v>0</v>
      </c>
      <c r="AX33" s="280">
        <f t="shared" si="22"/>
        <v>0</v>
      </c>
      <c r="AY33" s="281">
        <v>0.25</v>
      </c>
      <c r="AZ33" s="282" t="s">
        <v>179</v>
      </c>
      <c r="BA33" s="283">
        <v>12934367750</v>
      </c>
      <c r="BB33" s="279"/>
      <c r="BC33" s="279"/>
      <c r="BD33" s="281">
        <f t="shared" si="23"/>
        <v>0</v>
      </c>
      <c r="BE33" s="281">
        <f t="shared" si="24"/>
        <v>0</v>
      </c>
      <c r="BF33" s="281">
        <f>+(AJ33+AA33+AS33+BB33)/T33</f>
        <v>0</v>
      </c>
      <c r="BG33" s="281">
        <f>+(AK33+AB33+AT33+BC33)/V33</f>
        <v>0</v>
      </c>
      <c r="BH33" s="205">
        <f>IF(AND(X33=0,AA33=0),"No Prog ni Ejec",IF(X33=0,CONCATENATE("No Prog, Ejec=  ",AA33),AA33/X33))</f>
        <v>0</v>
      </c>
      <c r="BI33" s="205">
        <f>IF(AND(Z33=0,AB33=0),"No Prog ni Ejec",IF(Z33=0,CONCATENATE("No Prog, Ejec=  ",AB33),AB33/Z33))</f>
        <v>0</v>
      </c>
      <c r="BJ33" s="205">
        <f>IF(AND(AG33=0,AJ33=0),"No Prog ni Ejec",IF(AG33=0,CONCATENATE("No Prog, Ejec=  ",AJ33),AJ33/AG33))</f>
        <v>0</v>
      </c>
      <c r="BK33" s="205">
        <f>IF(AND(AI33=0,AK33=0),"No Prog ni Ejec",IF(AI33=0,CONCATENATE("No Prog, Ejec=  ",AK33),AK33/AI33))</f>
        <v>0</v>
      </c>
      <c r="BL33" s="205">
        <f>IF(AND(AP33=0,AS33=0),"No Prog ni Ejec",IF(AP33=0,CONCATENATE("No Prog, Ejec=  ",AS33),AS33/AP33))</f>
        <v>0</v>
      </c>
      <c r="BM33" s="205">
        <f t="shared" si="28"/>
        <v>0</v>
      </c>
      <c r="BN33" s="205">
        <f>IF(AND(AY33=0,BB33=0),"No Prog ni Ejec",IF(AY33=0,CONCATENATE("No Prog, Ejec=  ",BB33),BB33/AY33))</f>
        <v>0</v>
      </c>
      <c r="BO33" s="205">
        <f>IF(AND(BA33=0,BC33=0),"No Prog ni Ejec",IF(BA33=0,CONCATENATE("No Prog, Ejec=  ",BC33),BC33/BA33))</f>
        <v>0</v>
      </c>
      <c r="BP33" s="206"/>
      <c r="BQ33" s="277">
        <v>1</v>
      </c>
      <c r="BR33" s="208">
        <f t="shared" si="14"/>
        <v>0.58333333333333337</v>
      </c>
      <c r="BS33" s="219" t="str">
        <f t="shared" si="29"/>
        <v>FONSAET</v>
      </c>
      <c r="BT33" s="195">
        <f t="shared" si="13"/>
        <v>30180191416.666668</v>
      </c>
      <c r="BU33" s="196"/>
      <c r="BV33" s="196"/>
      <c r="BW33" s="196"/>
      <c r="BX33" s="196"/>
      <c r="BY33" s="196"/>
      <c r="BZ33" s="19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7" x14ac:dyDescent="0.25">
      <c r="A34" s="197">
        <v>11300</v>
      </c>
      <c r="B34" s="194" t="s">
        <v>4</v>
      </c>
      <c r="C34" s="198" t="s">
        <v>160</v>
      </c>
      <c r="D34" s="194" t="s">
        <v>145</v>
      </c>
      <c r="E34" s="198" t="s">
        <v>161</v>
      </c>
      <c r="F34" s="194" t="s">
        <v>162</v>
      </c>
      <c r="G34" s="209" t="s">
        <v>123</v>
      </c>
      <c r="H34" s="216">
        <v>1</v>
      </c>
      <c r="I34" s="198" t="s">
        <v>314</v>
      </c>
      <c r="J34" s="194" t="s">
        <v>180</v>
      </c>
      <c r="K34" s="210">
        <v>4936416000</v>
      </c>
      <c r="L34" s="220">
        <v>1.1553401328696884E-4</v>
      </c>
      <c r="M34" s="194" t="s">
        <v>46</v>
      </c>
      <c r="N34" s="194" t="s">
        <v>68</v>
      </c>
      <c r="O34" s="194" t="s">
        <v>21</v>
      </c>
      <c r="P34" s="194" t="s">
        <v>36</v>
      </c>
      <c r="Q34" s="194" t="s">
        <v>213</v>
      </c>
      <c r="R34" s="194" t="s">
        <v>182</v>
      </c>
      <c r="S34" s="194" t="s">
        <v>99</v>
      </c>
      <c r="T34" s="211">
        <v>1</v>
      </c>
      <c r="U34" s="212" t="str">
        <f t="shared" si="15"/>
        <v>Rendimientos Financieros cuentas de recaudo EPS - SSF</v>
      </c>
      <c r="V34" s="213">
        <f t="shared" si="15"/>
        <v>4936416000</v>
      </c>
      <c r="W34" s="214" t="s">
        <v>116</v>
      </c>
      <c r="X34" s="281">
        <v>0.25</v>
      </c>
      <c r="Y34" s="282" t="s">
        <v>180</v>
      </c>
      <c r="Z34" s="283">
        <v>1234104000</v>
      </c>
      <c r="AA34" s="279"/>
      <c r="AB34" s="279"/>
      <c r="AC34" s="280">
        <f t="shared" si="16"/>
        <v>0</v>
      </c>
      <c r="AD34" s="280">
        <f t="shared" si="17"/>
        <v>0</v>
      </c>
      <c r="AE34" s="280">
        <f t="shared" si="0"/>
        <v>0</v>
      </c>
      <c r="AF34" s="280">
        <f t="shared" si="1"/>
        <v>0</v>
      </c>
      <c r="AG34" s="281">
        <v>0.25</v>
      </c>
      <c r="AH34" s="282" t="s">
        <v>180</v>
      </c>
      <c r="AI34" s="283">
        <v>1234104000</v>
      </c>
      <c r="AJ34" s="279"/>
      <c r="AK34" s="279"/>
      <c r="AL34" s="280">
        <f t="shared" si="18"/>
        <v>0</v>
      </c>
      <c r="AM34" s="280">
        <f t="shared" si="2"/>
        <v>0</v>
      </c>
      <c r="AN34" s="280">
        <f t="shared" si="3"/>
        <v>0</v>
      </c>
      <c r="AO34" s="280">
        <f t="shared" si="4"/>
        <v>0</v>
      </c>
      <c r="AP34" s="281">
        <v>0.25</v>
      </c>
      <c r="AQ34" s="282" t="s">
        <v>180</v>
      </c>
      <c r="AR34" s="283">
        <v>1234104000</v>
      </c>
      <c r="AS34" s="279"/>
      <c r="AT34" s="279"/>
      <c r="AU34" s="280">
        <f t="shared" si="19"/>
        <v>0</v>
      </c>
      <c r="AV34" s="280">
        <f t="shared" si="20"/>
        <v>0</v>
      </c>
      <c r="AW34" s="280">
        <f t="shared" si="21"/>
        <v>0</v>
      </c>
      <c r="AX34" s="280">
        <f t="shared" si="22"/>
        <v>0</v>
      </c>
      <c r="AY34" s="281">
        <v>0.25</v>
      </c>
      <c r="AZ34" s="282" t="s">
        <v>180</v>
      </c>
      <c r="BA34" s="283">
        <v>1234104000</v>
      </c>
      <c r="BB34" s="279"/>
      <c r="BC34" s="279"/>
      <c r="BD34" s="281">
        <f t="shared" si="23"/>
        <v>0</v>
      </c>
      <c r="BE34" s="281">
        <f t="shared" si="24"/>
        <v>0</v>
      </c>
      <c r="BF34" s="281">
        <f t="shared" si="25"/>
        <v>0</v>
      </c>
      <c r="BG34" s="281">
        <f t="shared" si="26"/>
        <v>0</v>
      </c>
      <c r="BH34" s="205">
        <f t="shared" si="7"/>
        <v>0</v>
      </c>
      <c r="BI34" s="205">
        <f t="shared" si="8"/>
        <v>0</v>
      </c>
      <c r="BJ34" s="205">
        <f t="shared" si="9"/>
        <v>0</v>
      </c>
      <c r="BK34" s="205">
        <f t="shared" si="10"/>
        <v>0</v>
      </c>
      <c r="BL34" s="205">
        <f t="shared" si="27"/>
        <v>0</v>
      </c>
      <c r="BM34" s="205">
        <f t="shared" si="28"/>
        <v>0</v>
      </c>
      <c r="BN34" s="205">
        <f t="shared" si="11"/>
        <v>0</v>
      </c>
      <c r="BO34" s="205">
        <f t="shared" si="12"/>
        <v>0</v>
      </c>
      <c r="BP34" s="206"/>
      <c r="BQ34" s="277">
        <v>1</v>
      </c>
      <c r="BR34" s="208">
        <f t="shared" si="14"/>
        <v>0.58333333333333337</v>
      </c>
      <c r="BS34" s="219" t="str">
        <f t="shared" si="29"/>
        <v>Rendimientos Financieros cuentas de recaudo EPS - SSF</v>
      </c>
      <c r="BT34" s="195">
        <f t="shared" si="13"/>
        <v>2879576000</v>
      </c>
      <c r="BU34" s="196"/>
      <c r="BV34" s="196"/>
      <c r="BW34" s="196"/>
      <c r="BX34" s="196"/>
      <c r="BY34" s="196"/>
      <c r="BZ34" s="19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7" x14ac:dyDescent="0.25">
      <c r="A35" s="197">
        <v>11300</v>
      </c>
      <c r="B35" s="194" t="s">
        <v>4</v>
      </c>
      <c r="C35" s="198" t="s">
        <v>160</v>
      </c>
      <c r="D35" s="194" t="s">
        <v>145</v>
      </c>
      <c r="E35" s="198" t="s">
        <v>161</v>
      </c>
      <c r="F35" s="194" t="s">
        <v>162</v>
      </c>
      <c r="G35" s="209" t="s">
        <v>123</v>
      </c>
      <c r="H35" s="216">
        <v>1</v>
      </c>
      <c r="I35" s="198" t="s">
        <v>315</v>
      </c>
      <c r="J35" s="194" t="s">
        <v>181</v>
      </c>
      <c r="K35" s="210">
        <v>50000000000</v>
      </c>
      <c r="L35" s="220">
        <v>1.1702216070016065E-3</v>
      </c>
      <c r="M35" s="194" t="s">
        <v>46</v>
      </c>
      <c r="N35" s="194" t="s">
        <v>68</v>
      </c>
      <c r="O35" s="194" t="s">
        <v>21</v>
      </c>
      <c r="P35" s="194" t="s">
        <v>36</v>
      </c>
      <c r="Q35" s="194" t="s">
        <v>213</v>
      </c>
      <c r="R35" s="194" t="s">
        <v>182</v>
      </c>
      <c r="S35" s="194" t="s">
        <v>99</v>
      </c>
      <c r="T35" s="211">
        <v>1</v>
      </c>
      <c r="U35" s="212" t="str">
        <f t="shared" si="15"/>
        <v>Fortalecimientos Patrimonial a las Entidades del Sector salud</v>
      </c>
      <c r="V35" s="213">
        <f t="shared" si="15"/>
        <v>50000000000</v>
      </c>
      <c r="W35" s="214" t="s">
        <v>116</v>
      </c>
      <c r="X35" s="281">
        <v>0.25</v>
      </c>
      <c r="Y35" s="282" t="s">
        <v>181</v>
      </c>
      <c r="Z35" s="283">
        <v>12500000000</v>
      </c>
      <c r="AA35" s="279"/>
      <c r="AB35" s="279"/>
      <c r="AC35" s="280">
        <f t="shared" si="16"/>
        <v>0</v>
      </c>
      <c r="AD35" s="280">
        <f t="shared" si="17"/>
        <v>0</v>
      </c>
      <c r="AE35" s="280">
        <f t="shared" si="0"/>
        <v>0</v>
      </c>
      <c r="AF35" s="280">
        <f t="shared" si="1"/>
        <v>0</v>
      </c>
      <c r="AG35" s="281">
        <v>0.25</v>
      </c>
      <c r="AH35" s="282" t="s">
        <v>181</v>
      </c>
      <c r="AI35" s="283">
        <v>12500000000</v>
      </c>
      <c r="AJ35" s="279"/>
      <c r="AK35" s="279"/>
      <c r="AL35" s="280">
        <f t="shared" si="18"/>
        <v>0</v>
      </c>
      <c r="AM35" s="280">
        <f t="shared" si="2"/>
        <v>0</v>
      </c>
      <c r="AN35" s="280">
        <f t="shared" si="3"/>
        <v>0</v>
      </c>
      <c r="AO35" s="280">
        <f t="shared" si="4"/>
        <v>0</v>
      </c>
      <c r="AP35" s="281">
        <v>0.25</v>
      </c>
      <c r="AQ35" s="282" t="s">
        <v>181</v>
      </c>
      <c r="AR35" s="283">
        <v>12500000000</v>
      </c>
      <c r="AS35" s="279"/>
      <c r="AT35" s="279"/>
      <c r="AU35" s="280">
        <f t="shared" si="19"/>
        <v>0</v>
      </c>
      <c r="AV35" s="280">
        <f t="shared" si="20"/>
        <v>0</v>
      </c>
      <c r="AW35" s="280">
        <f t="shared" si="21"/>
        <v>0</v>
      </c>
      <c r="AX35" s="280">
        <f t="shared" si="22"/>
        <v>0</v>
      </c>
      <c r="AY35" s="281">
        <v>0.25</v>
      </c>
      <c r="AZ35" s="282" t="s">
        <v>181</v>
      </c>
      <c r="BA35" s="283">
        <v>12500000000</v>
      </c>
      <c r="BB35" s="279"/>
      <c r="BC35" s="279"/>
      <c r="BD35" s="281">
        <f t="shared" si="23"/>
        <v>0</v>
      </c>
      <c r="BE35" s="281">
        <f t="shared" si="24"/>
        <v>0</v>
      </c>
      <c r="BF35" s="281">
        <f t="shared" si="25"/>
        <v>0</v>
      </c>
      <c r="BG35" s="281">
        <f t="shared" si="26"/>
        <v>0</v>
      </c>
      <c r="BH35" s="205">
        <f t="shared" si="7"/>
        <v>0</v>
      </c>
      <c r="BI35" s="205">
        <f t="shared" si="8"/>
        <v>0</v>
      </c>
      <c r="BJ35" s="205">
        <f t="shared" si="9"/>
        <v>0</v>
      </c>
      <c r="BK35" s="205">
        <f t="shared" si="10"/>
        <v>0</v>
      </c>
      <c r="BL35" s="205">
        <f t="shared" si="27"/>
        <v>0</v>
      </c>
      <c r="BM35" s="205">
        <f t="shared" si="28"/>
        <v>0</v>
      </c>
      <c r="BN35" s="205">
        <f t="shared" si="11"/>
        <v>0</v>
      </c>
      <c r="BO35" s="205">
        <f t="shared" si="12"/>
        <v>0</v>
      </c>
      <c r="BP35" s="206"/>
      <c r="BQ35" s="277">
        <v>1</v>
      </c>
      <c r="BR35" s="208">
        <f t="shared" si="14"/>
        <v>0.58333333333333337</v>
      </c>
      <c r="BS35" s="219" t="str">
        <f t="shared" si="29"/>
        <v>Fortalecimientos Patrimonial a las Entidades del Sector salud</v>
      </c>
      <c r="BT35" s="195">
        <f t="shared" si="13"/>
        <v>29166666666.666668</v>
      </c>
      <c r="BU35" s="196"/>
      <c r="BV35" s="196"/>
      <c r="BW35" s="196"/>
      <c r="BX35" s="196"/>
      <c r="BY35" s="196"/>
      <c r="BZ35" s="19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7" x14ac:dyDescent="0.25">
      <c r="A36" s="197">
        <v>11300</v>
      </c>
      <c r="B36" s="194" t="s">
        <v>4</v>
      </c>
      <c r="C36" s="198" t="s">
        <v>160</v>
      </c>
      <c r="D36" s="194" t="s">
        <v>145</v>
      </c>
      <c r="E36" s="198" t="s">
        <v>578</v>
      </c>
      <c r="F36" s="194" t="s">
        <v>574</v>
      </c>
      <c r="G36" s="209" t="s">
        <v>124</v>
      </c>
      <c r="H36" s="198">
        <v>12</v>
      </c>
      <c r="I36" s="198" t="s">
        <v>579</v>
      </c>
      <c r="J36" s="194" t="s">
        <v>245</v>
      </c>
      <c r="K36" s="210">
        <v>53187356</v>
      </c>
      <c r="L36" s="211">
        <v>1</v>
      </c>
      <c r="M36" s="194" t="s">
        <v>46</v>
      </c>
      <c r="N36" s="194" t="s">
        <v>68</v>
      </c>
      <c r="O36" s="194" t="s">
        <v>21</v>
      </c>
      <c r="P36" s="194" t="s">
        <v>36</v>
      </c>
      <c r="Q36" s="194" t="s">
        <v>213</v>
      </c>
      <c r="R36" s="194" t="s">
        <v>626</v>
      </c>
      <c r="S36" s="194" t="s">
        <v>99</v>
      </c>
      <c r="T36" s="221">
        <v>12</v>
      </c>
      <c r="U36" s="212" t="str">
        <f t="shared" si="15"/>
        <v>Realizar Informes de Ejecución Presupuestal</v>
      </c>
      <c r="V36" s="213">
        <f t="shared" si="15"/>
        <v>53187356</v>
      </c>
      <c r="W36" s="222" t="s">
        <v>114</v>
      </c>
      <c r="X36" s="215">
        <v>3</v>
      </c>
      <c r="Y36" s="214" t="s">
        <v>245</v>
      </c>
      <c r="Z36" s="210">
        <v>12240000</v>
      </c>
      <c r="AA36" s="196"/>
      <c r="AB36" s="196"/>
      <c r="AC36" s="204">
        <f t="shared" si="16"/>
        <v>0</v>
      </c>
      <c r="AD36" s="204">
        <f t="shared" si="17"/>
        <v>0</v>
      </c>
      <c r="AE36" s="204">
        <f t="shared" si="0"/>
        <v>0</v>
      </c>
      <c r="AF36" s="204">
        <f t="shared" si="1"/>
        <v>0</v>
      </c>
      <c r="AG36" s="215">
        <v>3</v>
      </c>
      <c r="AH36" s="214" t="s">
        <v>245</v>
      </c>
      <c r="AI36" s="210">
        <v>12240000</v>
      </c>
      <c r="AJ36" s="196"/>
      <c r="AK36" s="196"/>
      <c r="AL36" s="204">
        <f t="shared" si="18"/>
        <v>0</v>
      </c>
      <c r="AM36" s="204">
        <f t="shared" si="2"/>
        <v>0</v>
      </c>
      <c r="AN36" s="204">
        <f t="shared" si="3"/>
        <v>0</v>
      </c>
      <c r="AO36" s="204">
        <f t="shared" si="4"/>
        <v>0</v>
      </c>
      <c r="AP36" s="215">
        <v>3</v>
      </c>
      <c r="AQ36" s="214" t="s">
        <v>245</v>
      </c>
      <c r="AR36" s="210">
        <v>13296839</v>
      </c>
      <c r="AS36" s="196"/>
      <c r="AT36" s="196"/>
      <c r="AU36" s="204">
        <f t="shared" si="19"/>
        <v>0</v>
      </c>
      <c r="AV36" s="204">
        <f t="shared" si="20"/>
        <v>0</v>
      </c>
      <c r="AW36" s="204">
        <f t="shared" si="21"/>
        <v>0</v>
      </c>
      <c r="AX36" s="204">
        <f t="shared" si="22"/>
        <v>0</v>
      </c>
      <c r="AY36" s="215">
        <v>3</v>
      </c>
      <c r="AZ36" s="214" t="s">
        <v>245</v>
      </c>
      <c r="BA36" s="210">
        <v>15410517</v>
      </c>
      <c r="BB36" s="196"/>
      <c r="BC36" s="196"/>
      <c r="BD36" s="216">
        <f t="shared" si="23"/>
        <v>0</v>
      </c>
      <c r="BE36" s="216">
        <f t="shared" si="24"/>
        <v>0</v>
      </c>
      <c r="BF36" s="216">
        <f t="shared" si="25"/>
        <v>0</v>
      </c>
      <c r="BG36" s="216">
        <f t="shared" si="26"/>
        <v>0</v>
      </c>
      <c r="BH36" s="223">
        <f t="shared" si="7"/>
        <v>0</v>
      </c>
      <c r="BI36" s="223">
        <f t="shared" si="8"/>
        <v>0</v>
      </c>
      <c r="BJ36" s="223">
        <f t="shared" si="9"/>
        <v>0</v>
      </c>
      <c r="BK36" s="223">
        <f t="shared" si="10"/>
        <v>0</v>
      </c>
      <c r="BL36" s="223">
        <f t="shared" si="27"/>
        <v>0</v>
      </c>
      <c r="BM36" s="223">
        <f t="shared" si="28"/>
        <v>0</v>
      </c>
      <c r="BN36" s="223">
        <f t="shared" si="11"/>
        <v>0</v>
      </c>
      <c r="BO36" s="223">
        <f t="shared" si="12"/>
        <v>0</v>
      </c>
      <c r="BP36" s="206"/>
      <c r="BQ36" s="277">
        <v>1</v>
      </c>
      <c r="BR36" s="218">
        <f t="shared" si="14"/>
        <v>7</v>
      </c>
      <c r="BS36" s="219" t="str">
        <f t="shared" si="29"/>
        <v>Realizar Informes de Ejecución Presupuestal</v>
      </c>
      <c r="BT36" s="195">
        <f t="shared" si="13"/>
        <v>28912279.666666668</v>
      </c>
      <c r="BU36" s="196"/>
      <c r="BV36" s="196"/>
      <c r="BW36" s="196"/>
      <c r="BX36" s="196"/>
      <c r="BY36" s="196"/>
      <c r="BZ36" s="19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7" x14ac:dyDescent="0.25">
      <c r="A37" s="197">
        <v>11300</v>
      </c>
      <c r="B37" s="194" t="s">
        <v>4</v>
      </c>
      <c r="C37" s="198" t="s">
        <v>160</v>
      </c>
      <c r="D37" s="194" t="s">
        <v>145</v>
      </c>
      <c r="E37" s="198" t="s">
        <v>580</v>
      </c>
      <c r="F37" s="194" t="s">
        <v>246</v>
      </c>
      <c r="G37" s="209" t="s">
        <v>123</v>
      </c>
      <c r="H37" s="211">
        <v>1</v>
      </c>
      <c r="I37" s="198" t="s">
        <v>581</v>
      </c>
      <c r="J37" s="194" t="s">
        <v>247</v>
      </c>
      <c r="K37" s="210">
        <v>243106560</v>
      </c>
      <c r="L37" s="211">
        <v>1</v>
      </c>
      <c r="M37" s="194" t="s">
        <v>46</v>
      </c>
      <c r="N37" s="194" t="s">
        <v>68</v>
      </c>
      <c r="O37" s="194" t="s">
        <v>21</v>
      </c>
      <c r="P37" s="194" t="s">
        <v>36</v>
      </c>
      <c r="Q37" s="194" t="s">
        <v>214</v>
      </c>
      <c r="R37" s="194" t="s">
        <v>594</v>
      </c>
      <c r="S37" s="194" t="s">
        <v>99</v>
      </c>
      <c r="T37" s="211">
        <v>1</v>
      </c>
      <c r="U37" s="212" t="str">
        <f t="shared" si="15"/>
        <v>Seguimiento e identificación del Recaudo</v>
      </c>
      <c r="V37" s="213">
        <f t="shared" si="15"/>
        <v>243106560</v>
      </c>
      <c r="W37" s="222" t="s">
        <v>114</v>
      </c>
      <c r="X37" s="281">
        <v>0.25</v>
      </c>
      <c r="Y37" s="282" t="s">
        <v>247</v>
      </c>
      <c r="Z37" s="283">
        <v>60776640</v>
      </c>
      <c r="AA37" s="279"/>
      <c r="AB37" s="279"/>
      <c r="AC37" s="280">
        <f t="shared" si="16"/>
        <v>0</v>
      </c>
      <c r="AD37" s="280">
        <f t="shared" si="17"/>
        <v>0</v>
      </c>
      <c r="AE37" s="280">
        <f t="shared" si="0"/>
        <v>0</v>
      </c>
      <c r="AF37" s="280">
        <f t="shared" si="1"/>
        <v>0</v>
      </c>
      <c r="AG37" s="281">
        <v>0.25</v>
      </c>
      <c r="AH37" s="282" t="s">
        <v>247</v>
      </c>
      <c r="AI37" s="283">
        <v>60776640</v>
      </c>
      <c r="AJ37" s="279"/>
      <c r="AK37" s="279"/>
      <c r="AL37" s="280">
        <f t="shared" si="18"/>
        <v>0</v>
      </c>
      <c r="AM37" s="280">
        <f t="shared" si="2"/>
        <v>0</v>
      </c>
      <c r="AN37" s="280">
        <f t="shared" si="3"/>
        <v>0</v>
      </c>
      <c r="AO37" s="280">
        <f t="shared" si="4"/>
        <v>0</v>
      </c>
      <c r="AP37" s="281">
        <v>0.25</v>
      </c>
      <c r="AQ37" s="282" t="s">
        <v>247</v>
      </c>
      <c r="AR37" s="283">
        <v>60776640</v>
      </c>
      <c r="AS37" s="279"/>
      <c r="AT37" s="279"/>
      <c r="AU37" s="280">
        <f t="shared" si="19"/>
        <v>0</v>
      </c>
      <c r="AV37" s="280">
        <f t="shared" si="20"/>
        <v>0</v>
      </c>
      <c r="AW37" s="280">
        <f t="shared" si="21"/>
        <v>0</v>
      </c>
      <c r="AX37" s="280">
        <f t="shared" si="22"/>
        <v>0</v>
      </c>
      <c r="AY37" s="281">
        <v>0.25</v>
      </c>
      <c r="AZ37" s="282" t="s">
        <v>247</v>
      </c>
      <c r="BA37" s="283">
        <v>60776640</v>
      </c>
      <c r="BB37" s="279"/>
      <c r="BC37" s="279"/>
      <c r="BD37" s="281">
        <f t="shared" si="23"/>
        <v>0</v>
      </c>
      <c r="BE37" s="281">
        <f t="shared" si="24"/>
        <v>0</v>
      </c>
      <c r="BF37" s="281">
        <f t="shared" si="25"/>
        <v>0</v>
      </c>
      <c r="BG37" s="281">
        <f t="shared" si="26"/>
        <v>0</v>
      </c>
      <c r="BH37" s="205">
        <f t="shared" si="7"/>
        <v>0</v>
      </c>
      <c r="BI37" s="205">
        <f t="shared" si="8"/>
        <v>0</v>
      </c>
      <c r="BJ37" s="205">
        <f t="shared" si="9"/>
        <v>0</v>
      </c>
      <c r="BK37" s="205">
        <f t="shared" si="10"/>
        <v>0</v>
      </c>
      <c r="BL37" s="205">
        <f t="shared" si="27"/>
        <v>0</v>
      </c>
      <c r="BM37" s="205">
        <f t="shared" si="28"/>
        <v>0</v>
      </c>
      <c r="BN37" s="205">
        <f t="shared" si="11"/>
        <v>0</v>
      </c>
      <c r="BO37" s="205">
        <f t="shared" si="12"/>
        <v>0</v>
      </c>
      <c r="BP37" s="206"/>
      <c r="BQ37" s="277">
        <v>1</v>
      </c>
      <c r="BR37" s="208">
        <f t="shared" si="14"/>
        <v>0.58333333333333337</v>
      </c>
      <c r="BS37" s="219" t="str">
        <f t="shared" si="29"/>
        <v>Seguimiento e identificación del Recaudo</v>
      </c>
      <c r="BT37" s="195">
        <f t="shared" si="13"/>
        <v>141812160</v>
      </c>
      <c r="BU37" s="196"/>
      <c r="BV37" s="196"/>
      <c r="BW37" s="196"/>
      <c r="BX37" s="196"/>
      <c r="BY37" s="196"/>
      <c r="BZ37" s="19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7" x14ac:dyDescent="0.25">
      <c r="A38" s="197">
        <v>11300</v>
      </c>
      <c r="B38" s="194" t="s">
        <v>4</v>
      </c>
      <c r="C38" s="198" t="s">
        <v>160</v>
      </c>
      <c r="D38" s="194" t="s">
        <v>145</v>
      </c>
      <c r="E38" s="198" t="s">
        <v>580</v>
      </c>
      <c r="F38" s="194" t="s">
        <v>246</v>
      </c>
      <c r="G38" s="199" t="s">
        <v>124</v>
      </c>
      <c r="H38" s="224">
        <v>12</v>
      </c>
      <c r="I38" s="198" t="s">
        <v>582</v>
      </c>
      <c r="J38" s="194" t="s">
        <v>575</v>
      </c>
      <c r="K38" s="210">
        <v>0</v>
      </c>
      <c r="L38" s="225">
        <v>1</v>
      </c>
      <c r="M38" s="194" t="s">
        <v>46</v>
      </c>
      <c r="N38" s="194" t="s">
        <v>68</v>
      </c>
      <c r="O38" s="194" t="s">
        <v>21</v>
      </c>
      <c r="P38" s="194" t="s">
        <v>36</v>
      </c>
      <c r="Q38" s="194" t="s">
        <v>214</v>
      </c>
      <c r="R38" s="194" t="s">
        <v>631</v>
      </c>
      <c r="S38" s="194" t="s">
        <v>99</v>
      </c>
      <c r="T38" s="221">
        <v>12</v>
      </c>
      <c r="U38" s="212" t="str">
        <f t="shared" si="15"/>
        <v>Informe Mensual de Recaudo Efectivo</v>
      </c>
      <c r="V38" s="213">
        <f t="shared" si="15"/>
        <v>0</v>
      </c>
      <c r="W38" s="214" t="s">
        <v>117</v>
      </c>
      <c r="X38" s="215">
        <v>3</v>
      </c>
      <c r="Y38" s="214" t="s">
        <v>575</v>
      </c>
      <c r="Z38" s="210">
        <v>0</v>
      </c>
      <c r="AA38" s="196"/>
      <c r="AB38" s="196"/>
      <c r="AC38" s="204">
        <f t="shared" si="16"/>
        <v>0</v>
      </c>
      <c r="AD38" s="204" t="e">
        <f t="shared" si="17"/>
        <v>#DIV/0!</v>
      </c>
      <c r="AE38" s="204">
        <f t="shared" si="0"/>
        <v>0</v>
      </c>
      <c r="AF38" s="204" t="e">
        <f t="shared" si="1"/>
        <v>#DIV/0!</v>
      </c>
      <c r="AG38" s="215">
        <v>3</v>
      </c>
      <c r="AH38" s="214" t="s">
        <v>575</v>
      </c>
      <c r="AI38" s="210">
        <v>0</v>
      </c>
      <c r="AJ38" s="196"/>
      <c r="AK38" s="196"/>
      <c r="AL38" s="204">
        <f t="shared" si="18"/>
        <v>0</v>
      </c>
      <c r="AM38" s="204" t="e">
        <f t="shared" si="2"/>
        <v>#DIV/0!</v>
      </c>
      <c r="AN38" s="204">
        <f t="shared" si="3"/>
        <v>0</v>
      </c>
      <c r="AO38" s="204" t="e">
        <f t="shared" si="4"/>
        <v>#DIV/0!</v>
      </c>
      <c r="AP38" s="215">
        <v>3</v>
      </c>
      <c r="AQ38" s="214" t="s">
        <v>575</v>
      </c>
      <c r="AR38" s="210">
        <v>0</v>
      </c>
      <c r="AS38" s="196"/>
      <c r="AT38" s="196"/>
      <c r="AU38" s="204">
        <f t="shared" si="19"/>
        <v>0</v>
      </c>
      <c r="AV38" s="204" t="e">
        <f t="shared" si="20"/>
        <v>#DIV/0!</v>
      </c>
      <c r="AW38" s="204">
        <f t="shared" si="21"/>
        <v>0</v>
      </c>
      <c r="AX38" s="204" t="e">
        <f t="shared" si="22"/>
        <v>#DIV/0!</v>
      </c>
      <c r="AY38" s="215">
        <v>3</v>
      </c>
      <c r="AZ38" s="214" t="s">
        <v>575</v>
      </c>
      <c r="BA38" s="210">
        <v>0</v>
      </c>
      <c r="BB38" s="196"/>
      <c r="BC38" s="196"/>
      <c r="BD38" s="216">
        <f t="shared" si="23"/>
        <v>0</v>
      </c>
      <c r="BE38" s="216" t="e">
        <f t="shared" si="24"/>
        <v>#DIV/0!</v>
      </c>
      <c r="BF38" s="216">
        <f t="shared" si="25"/>
        <v>0</v>
      </c>
      <c r="BG38" s="216" t="e">
        <f t="shared" si="26"/>
        <v>#DIV/0!</v>
      </c>
      <c r="BH38" s="217">
        <f t="shared" si="7"/>
        <v>0</v>
      </c>
      <c r="BI38" s="217" t="str">
        <f t="shared" si="8"/>
        <v>No Prog ni Ejec</v>
      </c>
      <c r="BJ38" s="217">
        <f t="shared" si="9"/>
        <v>0</v>
      </c>
      <c r="BK38" s="217" t="str">
        <f t="shared" si="10"/>
        <v>No Prog ni Ejec</v>
      </c>
      <c r="BL38" s="217">
        <f t="shared" si="27"/>
        <v>0</v>
      </c>
      <c r="BM38" s="217" t="str">
        <f t="shared" si="28"/>
        <v>No Prog ni Ejec</v>
      </c>
      <c r="BN38" s="217">
        <f t="shared" si="11"/>
        <v>0</v>
      </c>
      <c r="BO38" s="217" t="str">
        <f t="shared" si="12"/>
        <v>No Prog ni Ejec</v>
      </c>
      <c r="BP38" s="206"/>
      <c r="BQ38" s="277">
        <v>1</v>
      </c>
      <c r="BR38" s="218">
        <f t="shared" si="14"/>
        <v>7</v>
      </c>
      <c r="BS38" s="219" t="str">
        <f t="shared" si="29"/>
        <v>Informe Mensual de Recaudo Efectivo</v>
      </c>
      <c r="BT38" s="195">
        <f t="shared" si="13"/>
        <v>0</v>
      </c>
      <c r="BU38" s="196"/>
      <c r="BV38" s="196"/>
      <c r="BW38" s="196"/>
      <c r="BX38" s="196"/>
      <c r="BY38" s="196"/>
      <c r="BZ38" s="19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7" x14ac:dyDescent="0.25">
      <c r="A39" s="197">
        <v>11300</v>
      </c>
      <c r="B39" s="194" t="s">
        <v>4</v>
      </c>
      <c r="C39" s="198" t="s">
        <v>160</v>
      </c>
      <c r="D39" s="194" t="s">
        <v>145</v>
      </c>
      <c r="E39" s="198" t="s">
        <v>580</v>
      </c>
      <c r="F39" s="194" t="s">
        <v>246</v>
      </c>
      <c r="G39" s="209" t="s">
        <v>123</v>
      </c>
      <c r="H39" s="211">
        <v>1</v>
      </c>
      <c r="I39" s="198" t="s">
        <v>583</v>
      </c>
      <c r="J39" s="194" t="s">
        <v>248</v>
      </c>
      <c r="K39" s="210">
        <v>0</v>
      </c>
      <c r="L39" s="211">
        <v>1</v>
      </c>
      <c r="M39" s="194" t="s">
        <v>46</v>
      </c>
      <c r="N39" s="194" t="s">
        <v>68</v>
      </c>
      <c r="O39" s="194" t="s">
        <v>21</v>
      </c>
      <c r="P39" s="194" t="s">
        <v>36</v>
      </c>
      <c r="Q39" s="194" t="s">
        <v>214</v>
      </c>
      <c r="R39" s="194" t="s">
        <v>249</v>
      </c>
      <c r="S39" s="194" t="s">
        <v>99</v>
      </c>
      <c r="T39" s="211">
        <v>1</v>
      </c>
      <c r="U39" s="212" t="str">
        <f t="shared" si="15"/>
        <v>Seguimiento a Partidas Sin Identificar</v>
      </c>
      <c r="V39" s="213">
        <f t="shared" si="15"/>
        <v>0</v>
      </c>
      <c r="W39" s="214" t="s">
        <v>117</v>
      </c>
      <c r="X39" s="216">
        <v>0.25</v>
      </c>
      <c r="Y39" s="214" t="s">
        <v>248</v>
      </c>
      <c r="Z39" s="210">
        <v>0</v>
      </c>
      <c r="AA39" s="196"/>
      <c r="AB39" s="196"/>
      <c r="AC39" s="204">
        <f t="shared" si="16"/>
        <v>0</v>
      </c>
      <c r="AD39" s="204" t="e">
        <f t="shared" si="17"/>
        <v>#DIV/0!</v>
      </c>
      <c r="AE39" s="204">
        <f t="shared" si="0"/>
        <v>0</v>
      </c>
      <c r="AF39" s="204" t="e">
        <f t="shared" si="1"/>
        <v>#DIV/0!</v>
      </c>
      <c r="AG39" s="216">
        <v>0.25</v>
      </c>
      <c r="AH39" s="214" t="s">
        <v>248</v>
      </c>
      <c r="AI39" s="210">
        <v>0</v>
      </c>
      <c r="AJ39" s="196"/>
      <c r="AK39" s="196"/>
      <c r="AL39" s="204">
        <f t="shared" si="18"/>
        <v>0</v>
      </c>
      <c r="AM39" s="204" t="e">
        <f t="shared" si="2"/>
        <v>#DIV/0!</v>
      </c>
      <c r="AN39" s="204">
        <f t="shared" si="3"/>
        <v>0</v>
      </c>
      <c r="AO39" s="204" t="e">
        <f t="shared" si="4"/>
        <v>#DIV/0!</v>
      </c>
      <c r="AP39" s="216">
        <v>0.25</v>
      </c>
      <c r="AQ39" s="214" t="s">
        <v>248</v>
      </c>
      <c r="AR39" s="210">
        <v>0</v>
      </c>
      <c r="AS39" s="196"/>
      <c r="AT39" s="196"/>
      <c r="AU39" s="204">
        <f t="shared" si="19"/>
        <v>0</v>
      </c>
      <c r="AV39" s="204" t="e">
        <f t="shared" si="20"/>
        <v>#DIV/0!</v>
      </c>
      <c r="AW39" s="204">
        <f t="shared" si="21"/>
        <v>0</v>
      </c>
      <c r="AX39" s="204" t="e">
        <f t="shared" si="22"/>
        <v>#DIV/0!</v>
      </c>
      <c r="AY39" s="216">
        <v>0.25</v>
      </c>
      <c r="AZ39" s="214" t="s">
        <v>248</v>
      </c>
      <c r="BA39" s="210">
        <v>0</v>
      </c>
      <c r="BB39" s="196"/>
      <c r="BC39" s="196"/>
      <c r="BD39" s="216">
        <f t="shared" si="23"/>
        <v>0</v>
      </c>
      <c r="BE39" s="216" t="e">
        <f t="shared" si="24"/>
        <v>#DIV/0!</v>
      </c>
      <c r="BF39" s="216">
        <f t="shared" si="25"/>
        <v>0</v>
      </c>
      <c r="BG39" s="216" t="e">
        <f t="shared" si="26"/>
        <v>#DIV/0!</v>
      </c>
      <c r="BH39" s="217">
        <f t="shared" si="7"/>
        <v>0</v>
      </c>
      <c r="BI39" s="217" t="str">
        <f t="shared" si="8"/>
        <v>No Prog ni Ejec</v>
      </c>
      <c r="BJ39" s="217">
        <f t="shared" si="9"/>
        <v>0</v>
      </c>
      <c r="BK39" s="217" t="str">
        <f t="shared" si="10"/>
        <v>No Prog ni Ejec</v>
      </c>
      <c r="BL39" s="217">
        <f t="shared" si="27"/>
        <v>0</v>
      </c>
      <c r="BM39" s="217" t="str">
        <f t="shared" si="28"/>
        <v>No Prog ni Ejec</v>
      </c>
      <c r="BN39" s="217">
        <f t="shared" si="11"/>
        <v>0</v>
      </c>
      <c r="BO39" s="217" t="str">
        <f t="shared" si="12"/>
        <v>No Prog ni Ejec</v>
      </c>
      <c r="BP39" s="206"/>
      <c r="BQ39" s="277">
        <v>1</v>
      </c>
      <c r="BR39" s="208">
        <f t="shared" si="14"/>
        <v>0.58333333333333337</v>
      </c>
      <c r="BS39" s="219" t="str">
        <f t="shared" si="29"/>
        <v>Seguimiento a Partidas Sin Identificar</v>
      </c>
      <c r="BT39" s="195">
        <f t="shared" si="13"/>
        <v>0</v>
      </c>
      <c r="BU39" s="196"/>
      <c r="BV39" s="196"/>
      <c r="BW39" s="196"/>
      <c r="BX39" s="196"/>
      <c r="BY39" s="196"/>
      <c r="BZ39" s="19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7" x14ac:dyDescent="0.25">
      <c r="A40" s="197">
        <v>11300</v>
      </c>
      <c r="B40" s="194" t="s">
        <v>4</v>
      </c>
      <c r="C40" s="198" t="s">
        <v>160</v>
      </c>
      <c r="D40" s="194" t="s">
        <v>145</v>
      </c>
      <c r="E40" s="198" t="s">
        <v>584</v>
      </c>
      <c r="F40" s="194" t="s">
        <v>251</v>
      </c>
      <c r="G40" s="209" t="s">
        <v>123</v>
      </c>
      <c r="H40" s="211">
        <v>1</v>
      </c>
      <c r="I40" s="198" t="s">
        <v>585</v>
      </c>
      <c r="J40" s="194" t="s">
        <v>250</v>
      </c>
      <c r="K40" s="210">
        <v>292066560</v>
      </c>
      <c r="L40" s="211">
        <v>1</v>
      </c>
      <c r="M40" s="194" t="s">
        <v>46</v>
      </c>
      <c r="N40" s="194" t="s">
        <v>68</v>
      </c>
      <c r="O40" s="194" t="s">
        <v>21</v>
      </c>
      <c r="P40" s="194" t="s">
        <v>36</v>
      </c>
      <c r="Q40" s="194" t="s">
        <v>215</v>
      </c>
      <c r="R40" s="194" t="s">
        <v>595</v>
      </c>
      <c r="S40" s="194" t="s">
        <v>99</v>
      </c>
      <c r="T40" s="216">
        <v>1</v>
      </c>
      <c r="U40" s="212" t="str">
        <f t="shared" si="15"/>
        <v>Ordenes de Giros tramitadas</v>
      </c>
      <c r="V40" s="213">
        <f t="shared" si="15"/>
        <v>292066560</v>
      </c>
      <c r="W40" s="222" t="s">
        <v>114</v>
      </c>
      <c r="X40" s="281">
        <v>0.25</v>
      </c>
      <c r="Y40" s="282" t="s">
        <v>250</v>
      </c>
      <c r="Z40" s="283">
        <v>73016640</v>
      </c>
      <c r="AA40" s="279"/>
      <c r="AB40" s="279"/>
      <c r="AC40" s="280">
        <f t="shared" si="16"/>
        <v>0</v>
      </c>
      <c r="AD40" s="280">
        <f t="shared" si="17"/>
        <v>0</v>
      </c>
      <c r="AE40" s="280">
        <f t="shared" si="0"/>
        <v>0</v>
      </c>
      <c r="AF40" s="280">
        <f t="shared" si="1"/>
        <v>0</v>
      </c>
      <c r="AG40" s="281">
        <v>0.25</v>
      </c>
      <c r="AH40" s="282" t="s">
        <v>250</v>
      </c>
      <c r="AI40" s="283">
        <v>73016640</v>
      </c>
      <c r="AJ40" s="279"/>
      <c r="AK40" s="279"/>
      <c r="AL40" s="280">
        <f t="shared" si="18"/>
        <v>0</v>
      </c>
      <c r="AM40" s="280">
        <f t="shared" si="2"/>
        <v>0</v>
      </c>
      <c r="AN40" s="280">
        <f t="shared" si="3"/>
        <v>0</v>
      </c>
      <c r="AO40" s="280">
        <f t="shared" si="4"/>
        <v>0</v>
      </c>
      <c r="AP40" s="281">
        <v>0.25</v>
      </c>
      <c r="AQ40" s="282" t="s">
        <v>250</v>
      </c>
      <c r="AR40" s="283">
        <v>73016640</v>
      </c>
      <c r="AS40" s="279"/>
      <c r="AT40" s="279"/>
      <c r="AU40" s="280">
        <f t="shared" si="19"/>
        <v>0</v>
      </c>
      <c r="AV40" s="280">
        <f t="shared" si="20"/>
        <v>0</v>
      </c>
      <c r="AW40" s="280">
        <f t="shared" si="21"/>
        <v>0</v>
      </c>
      <c r="AX40" s="280">
        <f t="shared" si="22"/>
        <v>0</v>
      </c>
      <c r="AY40" s="281">
        <v>0.25</v>
      </c>
      <c r="AZ40" s="282" t="s">
        <v>250</v>
      </c>
      <c r="BA40" s="283">
        <v>73016640</v>
      </c>
      <c r="BB40" s="279"/>
      <c r="BC40" s="279"/>
      <c r="BD40" s="281">
        <f t="shared" si="23"/>
        <v>0</v>
      </c>
      <c r="BE40" s="281">
        <f t="shared" si="24"/>
        <v>0</v>
      </c>
      <c r="BF40" s="281">
        <f t="shared" si="25"/>
        <v>0</v>
      </c>
      <c r="BG40" s="281">
        <f t="shared" si="26"/>
        <v>0</v>
      </c>
      <c r="BH40" s="205">
        <f t="shared" si="7"/>
        <v>0</v>
      </c>
      <c r="BI40" s="205">
        <f t="shared" si="8"/>
        <v>0</v>
      </c>
      <c r="BJ40" s="205">
        <f t="shared" si="9"/>
        <v>0</v>
      </c>
      <c r="BK40" s="205">
        <f t="shared" si="10"/>
        <v>0</v>
      </c>
      <c r="BL40" s="205">
        <f t="shared" si="27"/>
        <v>0</v>
      </c>
      <c r="BM40" s="205">
        <f t="shared" si="28"/>
        <v>0</v>
      </c>
      <c r="BN40" s="205">
        <f t="shared" si="11"/>
        <v>0</v>
      </c>
      <c r="BO40" s="205">
        <f t="shared" si="12"/>
        <v>0</v>
      </c>
      <c r="BP40" s="206"/>
      <c r="BQ40" s="277">
        <v>1</v>
      </c>
      <c r="BR40" s="208">
        <f t="shared" si="14"/>
        <v>0.58333333333333337</v>
      </c>
      <c r="BS40" s="219" t="str">
        <f t="shared" si="29"/>
        <v>Ordenes de Giros tramitadas</v>
      </c>
      <c r="BT40" s="195">
        <f t="shared" si="13"/>
        <v>170372160</v>
      </c>
      <c r="BU40" s="196"/>
      <c r="BV40" s="196"/>
      <c r="BW40" s="196"/>
      <c r="BX40" s="196"/>
      <c r="BY40" s="196"/>
      <c r="BZ40" s="19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7" x14ac:dyDescent="0.25">
      <c r="A41" s="197">
        <v>11300</v>
      </c>
      <c r="B41" s="194" t="s">
        <v>4</v>
      </c>
      <c r="C41" s="198" t="s">
        <v>160</v>
      </c>
      <c r="D41" s="194" t="s">
        <v>145</v>
      </c>
      <c r="E41" s="198" t="s">
        <v>586</v>
      </c>
      <c r="F41" s="194" t="s">
        <v>252</v>
      </c>
      <c r="G41" s="209" t="s">
        <v>123</v>
      </c>
      <c r="H41" s="211">
        <v>1</v>
      </c>
      <c r="I41" s="198" t="s">
        <v>587</v>
      </c>
      <c r="J41" s="194" t="s">
        <v>253</v>
      </c>
      <c r="K41" s="210">
        <v>48960000</v>
      </c>
      <c r="L41" s="211">
        <v>1</v>
      </c>
      <c r="M41" s="194" t="s">
        <v>46</v>
      </c>
      <c r="N41" s="194" t="s">
        <v>68</v>
      </c>
      <c r="O41" s="194" t="s">
        <v>21</v>
      </c>
      <c r="P41" s="194" t="s">
        <v>36</v>
      </c>
      <c r="Q41" s="194" t="s">
        <v>215</v>
      </c>
      <c r="R41" s="194" t="s">
        <v>596</v>
      </c>
      <c r="S41" s="194" t="s">
        <v>99</v>
      </c>
      <c r="T41" s="216">
        <v>1</v>
      </c>
      <c r="U41" s="212" t="str">
        <f t="shared" si="15"/>
        <v>Boletines</v>
      </c>
      <c r="V41" s="213">
        <f t="shared" si="15"/>
        <v>48960000</v>
      </c>
      <c r="W41" s="222" t="s">
        <v>114</v>
      </c>
      <c r="X41" s="216">
        <v>0.25</v>
      </c>
      <c r="Y41" s="214" t="s">
        <v>253</v>
      </c>
      <c r="Z41" s="210">
        <v>12240000</v>
      </c>
      <c r="AA41" s="196"/>
      <c r="AB41" s="196"/>
      <c r="AC41" s="204">
        <f t="shared" si="16"/>
        <v>0</v>
      </c>
      <c r="AD41" s="204">
        <f t="shared" si="17"/>
        <v>0</v>
      </c>
      <c r="AE41" s="204">
        <f t="shared" si="0"/>
        <v>0</v>
      </c>
      <c r="AF41" s="204">
        <f t="shared" si="1"/>
        <v>0</v>
      </c>
      <c r="AG41" s="216">
        <v>0.25</v>
      </c>
      <c r="AH41" s="214" t="s">
        <v>253</v>
      </c>
      <c r="AI41" s="210">
        <v>12240000</v>
      </c>
      <c r="AJ41" s="196"/>
      <c r="AK41" s="196"/>
      <c r="AL41" s="204">
        <f t="shared" si="18"/>
        <v>0</v>
      </c>
      <c r="AM41" s="204">
        <f t="shared" si="2"/>
        <v>0</v>
      </c>
      <c r="AN41" s="204">
        <f t="shared" si="3"/>
        <v>0</v>
      </c>
      <c r="AO41" s="204">
        <f t="shared" si="4"/>
        <v>0</v>
      </c>
      <c r="AP41" s="216">
        <v>0.25</v>
      </c>
      <c r="AQ41" s="214" t="s">
        <v>253</v>
      </c>
      <c r="AR41" s="210">
        <v>12240000</v>
      </c>
      <c r="AS41" s="196"/>
      <c r="AT41" s="196"/>
      <c r="AU41" s="204">
        <f t="shared" si="19"/>
        <v>0</v>
      </c>
      <c r="AV41" s="204">
        <f t="shared" si="20"/>
        <v>0</v>
      </c>
      <c r="AW41" s="204">
        <f t="shared" si="21"/>
        <v>0</v>
      </c>
      <c r="AX41" s="204">
        <f t="shared" si="22"/>
        <v>0</v>
      </c>
      <c r="AY41" s="216">
        <v>0.25</v>
      </c>
      <c r="AZ41" s="214" t="s">
        <v>253</v>
      </c>
      <c r="BA41" s="210">
        <v>12240000</v>
      </c>
      <c r="BB41" s="196"/>
      <c r="BC41" s="196"/>
      <c r="BD41" s="216">
        <f t="shared" si="23"/>
        <v>0</v>
      </c>
      <c r="BE41" s="216">
        <f t="shared" si="24"/>
        <v>0</v>
      </c>
      <c r="BF41" s="216">
        <f t="shared" si="25"/>
        <v>0</v>
      </c>
      <c r="BG41" s="216">
        <f t="shared" si="26"/>
        <v>0</v>
      </c>
      <c r="BH41" s="223">
        <f t="shared" si="7"/>
        <v>0</v>
      </c>
      <c r="BI41" s="223">
        <f t="shared" si="8"/>
        <v>0</v>
      </c>
      <c r="BJ41" s="223">
        <f t="shared" si="9"/>
        <v>0</v>
      </c>
      <c r="BK41" s="223">
        <f t="shared" si="10"/>
        <v>0</v>
      </c>
      <c r="BL41" s="223">
        <f t="shared" si="27"/>
        <v>0</v>
      </c>
      <c r="BM41" s="223">
        <f t="shared" si="28"/>
        <v>0</v>
      </c>
      <c r="BN41" s="223">
        <f t="shared" si="11"/>
        <v>0</v>
      </c>
      <c r="BO41" s="223">
        <f t="shared" si="12"/>
        <v>0</v>
      </c>
      <c r="BP41" s="206"/>
      <c r="BQ41" s="277">
        <v>1</v>
      </c>
      <c r="BR41" s="208">
        <f t="shared" si="14"/>
        <v>0.58333333333333337</v>
      </c>
      <c r="BS41" s="219" t="str">
        <f t="shared" si="29"/>
        <v>Boletines</v>
      </c>
      <c r="BT41" s="195">
        <f t="shared" si="13"/>
        <v>28560000</v>
      </c>
      <c r="BU41" s="196"/>
      <c r="BV41" s="196"/>
      <c r="BW41" s="196"/>
      <c r="BX41" s="196"/>
      <c r="BY41" s="196"/>
      <c r="BZ41" s="19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7" x14ac:dyDescent="0.25">
      <c r="A42" s="197">
        <v>11300</v>
      </c>
      <c r="B42" s="194" t="s">
        <v>4</v>
      </c>
      <c r="C42" s="198" t="s">
        <v>160</v>
      </c>
      <c r="D42" s="194" t="s">
        <v>145</v>
      </c>
      <c r="E42" s="198" t="s">
        <v>588</v>
      </c>
      <c r="F42" s="194" t="s">
        <v>254</v>
      </c>
      <c r="G42" s="209" t="s">
        <v>124</v>
      </c>
      <c r="H42" s="198">
        <v>4</v>
      </c>
      <c r="I42" s="198" t="s">
        <v>589</v>
      </c>
      <c r="J42" s="194" t="s">
        <v>254</v>
      </c>
      <c r="K42" s="210">
        <v>272680404</v>
      </c>
      <c r="L42" s="211">
        <v>1</v>
      </c>
      <c r="M42" s="194" t="s">
        <v>46</v>
      </c>
      <c r="N42" s="194" t="s">
        <v>68</v>
      </c>
      <c r="O42" s="194" t="s">
        <v>21</v>
      </c>
      <c r="P42" s="194" t="s">
        <v>36</v>
      </c>
      <c r="Q42" s="194" t="s">
        <v>215</v>
      </c>
      <c r="R42" s="194" t="s">
        <v>255</v>
      </c>
      <c r="S42" s="194" t="s">
        <v>99</v>
      </c>
      <c r="T42" s="221">
        <v>4</v>
      </c>
      <c r="U42" s="212" t="str">
        <f t="shared" si="15"/>
        <v>Estados Financieros</v>
      </c>
      <c r="V42" s="213">
        <f t="shared" si="15"/>
        <v>272680404</v>
      </c>
      <c r="W42" s="222" t="s">
        <v>114</v>
      </c>
      <c r="X42" s="215">
        <v>1</v>
      </c>
      <c r="Y42" s="214" t="s">
        <v>254</v>
      </c>
      <c r="Z42" s="210">
        <v>68170101</v>
      </c>
      <c r="AA42" s="196"/>
      <c r="AB42" s="196"/>
      <c r="AC42" s="204">
        <f t="shared" si="16"/>
        <v>0</v>
      </c>
      <c r="AD42" s="204">
        <f t="shared" si="17"/>
        <v>0</v>
      </c>
      <c r="AE42" s="204">
        <f t="shared" si="0"/>
        <v>0</v>
      </c>
      <c r="AF42" s="204">
        <f t="shared" si="1"/>
        <v>0</v>
      </c>
      <c r="AG42" s="215">
        <v>1</v>
      </c>
      <c r="AH42" s="214" t="s">
        <v>254</v>
      </c>
      <c r="AI42" s="210">
        <v>68170101</v>
      </c>
      <c r="AJ42" s="196"/>
      <c r="AK42" s="196"/>
      <c r="AL42" s="204">
        <f t="shared" si="18"/>
        <v>0</v>
      </c>
      <c r="AM42" s="204">
        <f t="shared" si="2"/>
        <v>0</v>
      </c>
      <c r="AN42" s="204">
        <f t="shared" si="3"/>
        <v>0</v>
      </c>
      <c r="AO42" s="204">
        <f t="shared" si="4"/>
        <v>0</v>
      </c>
      <c r="AP42" s="215">
        <v>1</v>
      </c>
      <c r="AQ42" s="214" t="s">
        <v>254</v>
      </c>
      <c r="AR42" s="210">
        <v>68170101</v>
      </c>
      <c r="AS42" s="196"/>
      <c r="AT42" s="196"/>
      <c r="AU42" s="204">
        <f t="shared" si="19"/>
        <v>0</v>
      </c>
      <c r="AV42" s="204">
        <f t="shared" si="20"/>
        <v>0</v>
      </c>
      <c r="AW42" s="204">
        <f t="shared" si="21"/>
        <v>0</v>
      </c>
      <c r="AX42" s="204">
        <f t="shared" si="22"/>
        <v>0</v>
      </c>
      <c r="AY42" s="215">
        <v>1</v>
      </c>
      <c r="AZ42" s="214" t="s">
        <v>254</v>
      </c>
      <c r="BA42" s="210">
        <v>68170101</v>
      </c>
      <c r="BB42" s="196"/>
      <c r="BC42" s="196"/>
      <c r="BD42" s="216">
        <f t="shared" si="23"/>
        <v>0</v>
      </c>
      <c r="BE42" s="216">
        <f t="shared" si="24"/>
        <v>0</v>
      </c>
      <c r="BF42" s="216">
        <f t="shared" si="25"/>
        <v>0</v>
      </c>
      <c r="BG42" s="216">
        <f t="shared" si="26"/>
        <v>0</v>
      </c>
      <c r="BH42" s="223">
        <f t="shared" si="7"/>
        <v>0</v>
      </c>
      <c r="BI42" s="223">
        <f t="shared" si="8"/>
        <v>0</v>
      </c>
      <c r="BJ42" s="223">
        <f t="shared" si="9"/>
        <v>0</v>
      </c>
      <c r="BK42" s="223">
        <f t="shared" si="10"/>
        <v>0</v>
      </c>
      <c r="BL42" s="223">
        <f t="shared" si="27"/>
        <v>0</v>
      </c>
      <c r="BM42" s="223">
        <f t="shared" si="28"/>
        <v>0</v>
      </c>
      <c r="BN42" s="223">
        <f t="shared" si="11"/>
        <v>0</v>
      </c>
      <c r="BO42" s="223">
        <f t="shared" si="12"/>
        <v>0</v>
      </c>
      <c r="BP42" s="206"/>
      <c r="BQ42" s="277">
        <v>1</v>
      </c>
      <c r="BR42" s="218">
        <f t="shared" si="14"/>
        <v>2.3333333333333335</v>
      </c>
      <c r="BS42" s="219" t="str">
        <f t="shared" si="29"/>
        <v>Estados Financieros</v>
      </c>
      <c r="BT42" s="195">
        <f t="shared" si="13"/>
        <v>159063569</v>
      </c>
      <c r="BU42" s="196"/>
      <c r="BV42" s="196"/>
      <c r="BW42" s="196"/>
      <c r="BX42" s="196"/>
      <c r="BY42" s="196"/>
      <c r="BZ42" s="19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7" x14ac:dyDescent="0.25">
      <c r="A43" s="197">
        <v>11300</v>
      </c>
      <c r="B43" s="194" t="s">
        <v>4</v>
      </c>
      <c r="C43" s="198" t="s">
        <v>160</v>
      </c>
      <c r="D43" s="194" t="s">
        <v>145</v>
      </c>
      <c r="E43" s="198" t="s">
        <v>590</v>
      </c>
      <c r="F43" s="194" t="s">
        <v>257</v>
      </c>
      <c r="G43" s="209" t="s">
        <v>124</v>
      </c>
      <c r="H43" s="198">
        <v>4</v>
      </c>
      <c r="I43" s="198" t="s">
        <v>591</v>
      </c>
      <c r="J43" s="194" t="s">
        <v>258</v>
      </c>
      <c r="K43" s="210">
        <v>0</v>
      </c>
      <c r="L43" s="211">
        <v>1</v>
      </c>
      <c r="M43" s="194" t="s">
        <v>46</v>
      </c>
      <c r="N43" s="194" t="s">
        <v>68</v>
      </c>
      <c r="O43" s="194" t="s">
        <v>21</v>
      </c>
      <c r="P43" s="194" t="s">
        <v>36</v>
      </c>
      <c r="Q43" s="194" t="s">
        <v>212</v>
      </c>
      <c r="R43" s="194" t="s">
        <v>137</v>
      </c>
      <c r="S43" s="194" t="s">
        <v>99</v>
      </c>
      <c r="T43" s="221">
        <v>4</v>
      </c>
      <c r="U43" s="212" t="str">
        <f t="shared" si="15"/>
        <v>Informe</v>
      </c>
      <c r="V43" s="213">
        <f t="shared" si="15"/>
        <v>0</v>
      </c>
      <c r="W43" s="222" t="s">
        <v>114</v>
      </c>
      <c r="X43" s="215">
        <v>1</v>
      </c>
      <c r="Y43" s="214" t="s">
        <v>258</v>
      </c>
      <c r="Z43" s="210">
        <v>0</v>
      </c>
      <c r="AA43" s="196"/>
      <c r="AB43" s="196"/>
      <c r="AC43" s="204">
        <f t="shared" si="16"/>
        <v>0</v>
      </c>
      <c r="AD43" s="204" t="e">
        <f t="shared" si="17"/>
        <v>#DIV/0!</v>
      </c>
      <c r="AE43" s="204">
        <f t="shared" si="0"/>
        <v>0</v>
      </c>
      <c r="AF43" s="204" t="e">
        <f t="shared" si="1"/>
        <v>#DIV/0!</v>
      </c>
      <c r="AG43" s="215">
        <v>1</v>
      </c>
      <c r="AH43" s="214" t="s">
        <v>258</v>
      </c>
      <c r="AI43" s="210">
        <v>0</v>
      </c>
      <c r="AJ43" s="196"/>
      <c r="AK43" s="196"/>
      <c r="AL43" s="204">
        <f t="shared" si="18"/>
        <v>0</v>
      </c>
      <c r="AM43" s="204" t="e">
        <f t="shared" si="2"/>
        <v>#DIV/0!</v>
      </c>
      <c r="AN43" s="204">
        <f t="shared" si="3"/>
        <v>0</v>
      </c>
      <c r="AO43" s="204" t="e">
        <f t="shared" si="4"/>
        <v>#DIV/0!</v>
      </c>
      <c r="AP43" s="215">
        <v>1</v>
      </c>
      <c r="AQ43" s="214" t="s">
        <v>258</v>
      </c>
      <c r="AR43" s="210">
        <v>0</v>
      </c>
      <c r="AS43" s="196"/>
      <c r="AT43" s="196"/>
      <c r="AU43" s="204">
        <f t="shared" si="19"/>
        <v>0</v>
      </c>
      <c r="AV43" s="204" t="e">
        <f t="shared" si="20"/>
        <v>#DIV/0!</v>
      </c>
      <c r="AW43" s="204">
        <f t="shared" si="21"/>
        <v>0</v>
      </c>
      <c r="AX43" s="204" t="e">
        <f t="shared" si="22"/>
        <v>#DIV/0!</v>
      </c>
      <c r="AY43" s="215">
        <v>1</v>
      </c>
      <c r="AZ43" s="214" t="s">
        <v>258</v>
      </c>
      <c r="BA43" s="210">
        <v>0</v>
      </c>
      <c r="BB43" s="196"/>
      <c r="BC43" s="196"/>
      <c r="BD43" s="216">
        <f t="shared" si="23"/>
        <v>0</v>
      </c>
      <c r="BE43" s="216" t="e">
        <f t="shared" si="24"/>
        <v>#DIV/0!</v>
      </c>
      <c r="BF43" s="216">
        <f t="shared" si="25"/>
        <v>0</v>
      </c>
      <c r="BG43" s="216" t="e">
        <f t="shared" si="26"/>
        <v>#DIV/0!</v>
      </c>
      <c r="BH43" s="217">
        <f t="shared" si="7"/>
        <v>0</v>
      </c>
      <c r="BI43" s="217" t="str">
        <f t="shared" si="8"/>
        <v>No Prog ni Ejec</v>
      </c>
      <c r="BJ43" s="217">
        <f t="shared" si="9"/>
        <v>0</v>
      </c>
      <c r="BK43" s="217" t="str">
        <f t="shared" si="10"/>
        <v>No Prog ni Ejec</v>
      </c>
      <c r="BL43" s="217">
        <f t="shared" si="27"/>
        <v>0</v>
      </c>
      <c r="BM43" s="217" t="str">
        <f t="shared" si="28"/>
        <v>No Prog ni Ejec</v>
      </c>
      <c r="BN43" s="217">
        <f t="shared" si="11"/>
        <v>0</v>
      </c>
      <c r="BO43" s="217" t="str">
        <f t="shared" si="12"/>
        <v>No Prog ni Ejec</v>
      </c>
      <c r="BP43" s="206"/>
      <c r="BQ43" s="277">
        <v>1</v>
      </c>
      <c r="BR43" s="218">
        <f t="shared" si="14"/>
        <v>2.3333333333333335</v>
      </c>
      <c r="BS43" s="219" t="str">
        <f t="shared" si="29"/>
        <v>Informe</v>
      </c>
      <c r="BT43" s="195">
        <f t="shared" si="13"/>
        <v>0</v>
      </c>
      <c r="BU43" s="196"/>
      <c r="BV43" s="196"/>
      <c r="BW43" s="196"/>
      <c r="BX43" s="196"/>
      <c r="BY43" s="196"/>
      <c r="BZ43" s="19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7" x14ac:dyDescent="0.25">
      <c r="A44" s="197">
        <v>11300</v>
      </c>
      <c r="B44" s="194" t="s">
        <v>4</v>
      </c>
      <c r="C44" s="198" t="s">
        <v>160</v>
      </c>
      <c r="D44" s="194" t="s">
        <v>145</v>
      </c>
      <c r="E44" s="198" t="s">
        <v>592</v>
      </c>
      <c r="F44" s="194" t="s">
        <v>571</v>
      </c>
      <c r="G44" s="209" t="s">
        <v>123</v>
      </c>
      <c r="H44" s="226">
        <v>1</v>
      </c>
      <c r="I44" s="198" t="s">
        <v>593</v>
      </c>
      <c r="J44" s="194" t="s">
        <v>571</v>
      </c>
      <c r="K44" s="210">
        <v>580945500</v>
      </c>
      <c r="L44" s="211">
        <v>1</v>
      </c>
      <c r="M44" s="194" t="s">
        <v>46</v>
      </c>
      <c r="N44" s="194" t="s">
        <v>68</v>
      </c>
      <c r="O44" s="194" t="s">
        <v>21</v>
      </c>
      <c r="P44" s="194" t="s">
        <v>36</v>
      </c>
      <c r="Q44" s="194" t="s">
        <v>212</v>
      </c>
      <c r="R44" s="194" t="s">
        <v>379</v>
      </c>
      <c r="S44" s="194" t="s">
        <v>99</v>
      </c>
      <c r="T44" s="211">
        <v>1</v>
      </c>
      <c r="U44" s="212" t="str">
        <f t="shared" si="15"/>
        <v>Administración y Custodia del Portafolio de Inversión</v>
      </c>
      <c r="V44" s="213">
        <f t="shared" si="15"/>
        <v>580945500</v>
      </c>
      <c r="W44" s="222" t="s">
        <v>114</v>
      </c>
      <c r="X44" s="281">
        <v>0.25</v>
      </c>
      <c r="Y44" s="282" t="s">
        <v>571</v>
      </c>
      <c r="Z44" s="283">
        <v>0</v>
      </c>
      <c r="AA44" s="279"/>
      <c r="AB44" s="279"/>
      <c r="AC44" s="280">
        <f t="shared" si="16"/>
        <v>0</v>
      </c>
      <c r="AD44" s="280" t="e">
        <f t="shared" si="17"/>
        <v>#DIV/0!</v>
      </c>
      <c r="AE44" s="280">
        <f t="shared" si="0"/>
        <v>0</v>
      </c>
      <c r="AF44" s="280">
        <f t="shared" si="1"/>
        <v>0</v>
      </c>
      <c r="AG44" s="281">
        <v>0.25</v>
      </c>
      <c r="AH44" s="282" t="s">
        <v>571</v>
      </c>
      <c r="AI44" s="283">
        <v>193648499.99999997</v>
      </c>
      <c r="AJ44" s="279"/>
      <c r="AK44" s="279"/>
      <c r="AL44" s="280">
        <f t="shared" si="18"/>
        <v>0</v>
      </c>
      <c r="AM44" s="280">
        <f t="shared" si="2"/>
        <v>0</v>
      </c>
      <c r="AN44" s="280">
        <f t="shared" si="3"/>
        <v>0</v>
      </c>
      <c r="AO44" s="280">
        <f t="shared" si="4"/>
        <v>0</v>
      </c>
      <c r="AP44" s="281">
        <v>0.25</v>
      </c>
      <c r="AQ44" s="282" t="s">
        <v>571</v>
      </c>
      <c r="AR44" s="283">
        <v>193648499.99999997</v>
      </c>
      <c r="AS44" s="279"/>
      <c r="AT44" s="279"/>
      <c r="AU44" s="280">
        <f t="shared" si="19"/>
        <v>0</v>
      </c>
      <c r="AV44" s="280">
        <f t="shared" si="20"/>
        <v>0</v>
      </c>
      <c r="AW44" s="280">
        <f t="shared" si="21"/>
        <v>0</v>
      </c>
      <c r="AX44" s="280">
        <f t="shared" si="22"/>
        <v>0</v>
      </c>
      <c r="AY44" s="281">
        <v>0.25</v>
      </c>
      <c r="AZ44" s="282" t="s">
        <v>571</v>
      </c>
      <c r="BA44" s="283">
        <v>193648499.99999997</v>
      </c>
      <c r="BB44" s="279"/>
      <c r="BC44" s="279"/>
      <c r="BD44" s="281">
        <f t="shared" si="23"/>
        <v>0</v>
      </c>
      <c r="BE44" s="281">
        <f t="shared" si="24"/>
        <v>0</v>
      </c>
      <c r="BF44" s="281">
        <f t="shared" si="25"/>
        <v>0</v>
      </c>
      <c r="BG44" s="281">
        <f t="shared" si="26"/>
        <v>0</v>
      </c>
      <c r="BH44" s="205">
        <f t="shared" si="7"/>
        <v>0</v>
      </c>
      <c r="BI44" s="205" t="str">
        <f t="shared" si="8"/>
        <v>No Prog ni Ejec</v>
      </c>
      <c r="BJ44" s="205">
        <f t="shared" si="9"/>
        <v>0</v>
      </c>
      <c r="BK44" s="205">
        <f t="shared" si="10"/>
        <v>0</v>
      </c>
      <c r="BL44" s="205">
        <f t="shared" si="27"/>
        <v>0</v>
      </c>
      <c r="BM44" s="205">
        <f t="shared" si="28"/>
        <v>0</v>
      </c>
      <c r="BN44" s="205">
        <f t="shared" si="11"/>
        <v>0</v>
      </c>
      <c r="BO44" s="205">
        <f t="shared" si="12"/>
        <v>0</v>
      </c>
      <c r="BP44" s="206"/>
      <c r="BQ44" s="277">
        <v>2</v>
      </c>
      <c r="BR44" s="208">
        <f t="shared" si="14"/>
        <v>0.58333333333333337</v>
      </c>
      <c r="BS44" s="219" t="str">
        <f t="shared" si="29"/>
        <v>Administración y Custodia del Portafolio de Inversión</v>
      </c>
      <c r="BT44" s="195">
        <f t="shared" si="13"/>
        <v>258197999.99999997</v>
      </c>
      <c r="BU44" s="196"/>
      <c r="BV44" s="196"/>
      <c r="BW44" s="196"/>
      <c r="BX44" s="196"/>
      <c r="BY44" s="196"/>
      <c r="BZ44" s="19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7" x14ac:dyDescent="0.25">
      <c r="A45" s="197">
        <v>11400</v>
      </c>
      <c r="B45" s="194" t="s">
        <v>26</v>
      </c>
      <c r="C45" s="198" t="s">
        <v>183</v>
      </c>
      <c r="D45" s="194" t="s">
        <v>153</v>
      </c>
      <c r="E45" s="198" t="s">
        <v>185</v>
      </c>
      <c r="F45" s="194" t="s">
        <v>133</v>
      </c>
      <c r="G45" s="209" t="s">
        <v>124</v>
      </c>
      <c r="H45" s="198">
        <v>4</v>
      </c>
      <c r="I45" s="198" t="s">
        <v>316</v>
      </c>
      <c r="J45" s="194" t="s">
        <v>24</v>
      </c>
      <c r="K45" s="210">
        <v>0</v>
      </c>
      <c r="L45" s="211">
        <v>1</v>
      </c>
      <c r="M45" s="194" t="s">
        <v>51</v>
      </c>
      <c r="N45" s="194" t="s">
        <v>68</v>
      </c>
      <c r="O45" s="194" t="s">
        <v>21</v>
      </c>
      <c r="P45" s="194" t="s">
        <v>36</v>
      </c>
      <c r="Q45" s="194" t="s">
        <v>75</v>
      </c>
      <c r="R45" s="194" t="s">
        <v>631</v>
      </c>
      <c r="S45" s="194" t="s">
        <v>98</v>
      </c>
      <c r="T45" s="198">
        <v>4</v>
      </c>
      <c r="U45" s="212" t="str">
        <f t="shared" si="15"/>
        <v>Reportar el cumplimiento del Plan de Acción de la Dependencia</v>
      </c>
      <c r="V45" s="213">
        <f t="shared" si="15"/>
        <v>0</v>
      </c>
      <c r="W45" s="214" t="s">
        <v>117</v>
      </c>
      <c r="X45" s="215">
        <v>1</v>
      </c>
      <c r="Y45" s="214" t="s">
        <v>24</v>
      </c>
      <c r="Z45" s="210">
        <v>0</v>
      </c>
      <c r="AA45" s="196"/>
      <c r="AB45" s="196"/>
      <c r="AC45" s="204">
        <f t="shared" si="16"/>
        <v>0</v>
      </c>
      <c r="AD45" s="204" t="e">
        <f t="shared" si="17"/>
        <v>#DIV/0!</v>
      </c>
      <c r="AE45" s="204">
        <f t="shared" si="0"/>
        <v>0</v>
      </c>
      <c r="AF45" s="204" t="e">
        <f t="shared" si="1"/>
        <v>#DIV/0!</v>
      </c>
      <c r="AG45" s="215">
        <v>1</v>
      </c>
      <c r="AH45" s="214" t="s">
        <v>24</v>
      </c>
      <c r="AI45" s="210">
        <v>0</v>
      </c>
      <c r="AJ45" s="196"/>
      <c r="AK45" s="196"/>
      <c r="AL45" s="204">
        <f t="shared" si="18"/>
        <v>0</v>
      </c>
      <c r="AM45" s="204" t="e">
        <f t="shared" si="2"/>
        <v>#DIV/0!</v>
      </c>
      <c r="AN45" s="204">
        <f t="shared" si="3"/>
        <v>0</v>
      </c>
      <c r="AO45" s="204" t="e">
        <f t="shared" si="4"/>
        <v>#DIV/0!</v>
      </c>
      <c r="AP45" s="215">
        <v>1</v>
      </c>
      <c r="AQ45" s="214" t="s">
        <v>24</v>
      </c>
      <c r="AR45" s="210">
        <v>0</v>
      </c>
      <c r="AS45" s="196"/>
      <c r="AT45" s="196"/>
      <c r="AU45" s="204">
        <f t="shared" si="19"/>
        <v>0</v>
      </c>
      <c r="AV45" s="204" t="e">
        <f t="shared" si="20"/>
        <v>#DIV/0!</v>
      </c>
      <c r="AW45" s="204">
        <f t="shared" si="21"/>
        <v>0</v>
      </c>
      <c r="AX45" s="204" t="e">
        <f t="shared" si="22"/>
        <v>#DIV/0!</v>
      </c>
      <c r="AY45" s="215">
        <v>1</v>
      </c>
      <c r="AZ45" s="214" t="s">
        <v>24</v>
      </c>
      <c r="BA45" s="210">
        <v>0</v>
      </c>
      <c r="BB45" s="196"/>
      <c r="BC45" s="196"/>
      <c r="BD45" s="216">
        <f t="shared" si="23"/>
        <v>0</v>
      </c>
      <c r="BE45" s="216" t="e">
        <f t="shared" si="24"/>
        <v>#DIV/0!</v>
      </c>
      <c r="BF45" s="216">
        <f t="shared" si="25"/>
        <v>0</v>
      </c>
      <c r="BG45" s="216" t="e">
        <f t="shared" si="26"/>
        <v>#DIV/0!</v>
      </c>
      <c r="BH45" s="217">
        <f t="shared" si="7"/>
        <v>0</v>
      </c>
      <c r="BI45" s="217" t="str">
        <f t="shared" si="8"/>
        <v>No Prog ni Ejec</v>
      </c>
      <c r="BJ45" s="217">
        <f t="shared" si="9"/>
        <v>0</v>
      </c>
      <c r="BK45" s="217" t="str">
        <f t="shared" si="10"/>
        <v>No Prog ni Ejec</v>
      </c>
      <c r="BL45" s="217">
        <f t="shared" si="27"/>
        <v>0</v>
      </c>
      <c r="BM45" s="217" t="str">
        <f t="shared" si="28"/>
        <v>No Prog ni Ejec</v>
      </c>
      <c r="BN45" s="217">
        <f t="shared" si="11"/>
        <v>0</v>
      </c>
      <c r="BO45" s="217" t="str">
        <f t="shared" si="12"/>
        <v>No Prog ni Ejec</v>
      </c>
      <c r="BP45" s="206"/>
      <c r="BQ45" s="277">
        <v>5</v>
      </c>
      <c r="BR45" s="218">
        <f t="shared" si="14"/>
        <v>2.3333333333333335</v>
      </c>
      <c r="BS45" s="219" t="str">
        <f t="shared" si="29"/>
        <v>Reportar el cumplimiento del Plan de Acción de la Dependencia</v>
      </c>
      <c r="BT45" s="195">
        <f t="shared" si="13"/>
        <v>0</v>
      </c>
      <c r="BU45" s="196"/>
      <c r="BV45" s="196"/>
      <c r="BW45" s="196"/>
      <c r="BX45" s="196"/>
      <c r="BY45" s="196"/>
      <c r="BZ45" s="19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99.75" x14ac:dyDescent="0.25">
      <c r="A46" s="197">
        <v>11400</v>
      </c>
      <c r="B46" s="194" t="s">
        <v>26</v>
      </c>
      <c r="C46" s="198" t="s">
        <v>184</v>
      </c>
      <c r="D46" s="194" t="s">
        <v>256</v>
      </c>
      <c r="E46" s="198" t="s">
        <v>186</v>
      </c>
      <c r="F46" s="194" t="s">
        <v>159</v>
      </c>
      <c r="G46" s="209" t="s">
        <v>123</v>
      </c>
      <c r="H46" s="216">
        <v>1</v>
      </c>
      <c r="I46" s="198" t="s">
        <v>317</v>
      </c>
      <c r="J46" s="194" t="s">
        <v>156</v>
      </c>
      <c r="K46" s="210">
        <v>0</v>
      </c>
      <c r="L46" s="211">
        <v>1</v>
      </c>
      <c r="M46" s="194" t="s">
        <v>51</v>
      </c>
      <c r="N46" s="194" t="s">
        <v>68</v>
      </c>
      <c r="O46" s="194" t="s">
        <v>21</v>
      </c>
      <c r="P46" s="194" t="s">
        <v>36</v>
      </c>
      <c r="Q46" s="194" t="s">
        <v>75</v>
      </c>
      <c r="R46" s="194" t="s">
        <v>672</v>
      </c>
      <c r="S46" s="194" t="s">
        <v>98</v>
      </c>
      <c r="T46" s="211">
        <v>1</v>
      </c>
      <c r="U46" s="212" t="str">
        <f t="shared" si="15"/>
        <v>Formular los proceso y procedimientos en el marco del MIPG</v>
      </c>
      <c r="V46" s="213">
        <f t="shared" si="15"/>
        <v>0</v>
      </c>
      <c r="W46" s="214" t="s">
        <v>117</v>
      </c>
      <c r="X46" s="216">
        <v>0.25</v>
      </c>
      <c r="Y46" s="214" t="s">
        <v>156</v>
      </c>
      <c r="Z46" s="210">
        <v>0</v>
      </c>
      <c r="AA46" s="196"/>
      <c r="AB46" s="196"/>
      <c r="AC46" s="204">
        <f t="shared" si="16"/>
        <v>0</v>
      </c>
      <c r="AD46" s="204" t="e">
        <f t="shared" si="17"/>
        <v>#DIV/0!</v>
      </c>
      <c r="AE46" s="204">
        <f t="shared" si="0"/>
        <v>0</v>
      </c>
      <c r="AF46" s="204" t="e">
        <f t="shared" si="1"/>
        <v>#DIV/0!</v>
      </c>
      <c r="AG46" s="216">
        <v>0.25</v>
      </c>
      <c r="AH46" s="214" t="s">
        <v>156</v>
      </c>
      <c r="AI46" s="210">
        <v>0</v>
      </c>
      <c r="AJ46" s="196"/>
      <c r="AK46" s="196"/>
      <c r="AL46" s="204">
        <f t="shared" si="18"/>
        <v>0</v>
      </c>
      <c r="AM46" s="204" t="e">
        <f t="shared" si="2"/>
        <v>#DIV/0!</v>
      </c>
      <c r="AN46" s="204">
        <f t="shared" si="3"/>
        <v>0</v>
      </c>
      <c r="AO46" s="204" t="e">
        <f t="shared" si="4"/>
        <v>#DIV/0!</v>
      </c>
      <c r="AP46" s="216">
        <v>0.25</v>
      </c>
      <c r="AQ46" s="214" t="s">
        <v>156</v>
      </c>
      <c r="AR46" s="210">
        <v>0</v>
      </c>
      <c r="AS46" s="196"/>
      <c r="AT46" s="196"/>
      <c r="AU46" s="204">
        <f t="shared" si="19"/>
        <v>0</v>
      </c>
      <c r="AV46" s="204" t="e">
        <f t="shared" si="20"/>
        <v>#DIV/0!</v>
      </c>
      <c r="AW46" s="204">
        <f t="shared" si="21"/>
        <v>0</v>
      </c>
      <c r="AX46" s="204" t="e">
        <f t="shared" si="22"/>
        <v>#DIV/0!</v>
      </c>
      <c r="AY46" s="216">
        <v>0.25</v>
      </c>
      <c r="AZ46" s="214" t="s">
        <v>156</v>
      </c>
      <c r="BA46" s="210">
        <v>0</v>
      </c>
      <c r="BB46" s="196"/>
      <c r="BC46" s="196"/>
      <c r="BD46" s="216">
        <f t="shared" si="23"/>
        <v>0</v>
      </c>
      <c r="BE46" s="216" t="e">
        <f t="shared" si="24"/>
        <v>#DIV/0!</v>
      </c>
      <c r="BF46" s="216">
        <f t="shared" si="25"/>
        <v>0</v>
      </c>
      <c r="BG46" s="216" t="e">
        <f t="shared" si="26"/>
        <v>#DIV/0!</v>
      </c>
      <c r="BH46" s="217">
        <f t="shared" si="7"/>
        <v>0</v>
      </c>
      <c r="BI46" s="217" t="str">
        <f t="shared" si="8"/>
        <v>No Prog ni Ejec</v>
      </c>
      <c r="BJ46" s="217">
        <f t="shared" si="9"/>
        <v>0</v>
      </c>
      <c r="BK46" s="217" t="str">
        <f t="shared" si="10"/>
        <v>No Prog ni Ejec</v>
      </c>
      <c r="BL46" s="217">
        <f t="shared" si="27"/>
        <v>0</v>
      </c>
      <c r="BM46" s="217" t="str">
        <f t="shared" si="28"/>
        <v>No Prog ni Ejec</v>
      </c>
      <c r="BN46" s="217">
        <f t="shared" si="11"/>
        <v>0</v>
      </c>
      <c r="BO46" s="217" t="str">
        <f t="shared" si="12"/>
        <v>No Prog ni Ejec</v>
      </c>
      <c r="BP46" s="206"/>
      <c r="BQ46" s="277">
        <v>5</v>
      </c>
      <c r="BR46" s="208">
        <f t="shared" si="14"/>
        <v>0.58333333333333337</v>
      </c>
      <c r="BS46" s="219" t="str">
        <f t="shared" si="29"/>
        <v>Formular los proceso y procedimientos en el marco del MIPG</v>
      </c>
      <c r="BT46" s="195">
        <f t="shared" si="13"/>
        <v>0</v>
      </c>
      <c r="BU46" s="196"/>
      <c r="BV46" s="196"/>
      <c r="BW46" s="196"/>
      <c r="BX46" s="196"/>
      <c r="BY46" s="196"/>
      <c r="BZ46" s="19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99.75" x14ac:dyDescent="0.25">
      <c r="A47" s="197">
        <v>11400</v>
      </c>
      <c r="B47" s="194" t="s">
        <v>26</v>
      </c>
      <c r="C47" s="198" t="s">
        <v>184</v>
      </c>
      <c r="D47" s="194" t="s">
        <v>256</v>
      </c>
      <c r="E47" s="198" t="s">
        <v>187</v>
      </c>
      <c r="F47" s="194" t="s">
        <v>127</v>
      </c>
      <c r="G47" s="199" t="s">
        <v>123</v>
      </c>
      <c r="H47" s="226">
        <v>1</v>
      </c>
      <c r="I47" s="198" t="s">
        <v>318</v>
      </c>
      <c r="J47" s="194" t="s">
        <v>128</v>
      </c>
      <c r="K47" s="210">
        <v>0</v>
      </c>
      <c r="L47" s="211">
        <v>1</v>
      </c>
      <c r="M47" s="194" t="s">
        <v>51</v>
      </c>
      <c r="N47" s="194" t="s">
        <v>68</v>
      </c>
      <c r="O47" s="194" t="s">
        <v>21</v>
      </c>
      <c r="P47" s="194" t="s">
        <v>36</v>
      </c>
      <c r="Q47" s="194" t="s">
        <v>75</v>
      </c>
      <c r="R47" s="194" t="s">
        <v>570</v>
      </c>
      <c r="S47" s="194" t="s">
        <v>98</v>
      </c>
      <c r="T47" s="211">
        <v>1</v>
      </c>
      <c r="U47" s="212" t="str">
        <f t="shared" si="15"/>
        <v>Remitir informes trimestrales de los indicadores formulados y las acciones de mejoras</v>
      </c>
      <c r="V47" s="213">
        <f t="shared" si="15"/>
        <v>0</v>
      </c>
      <c r="W47" s="214" t="s">
        <v>117</v>
      </c>
      <c r="X47" s="216">
        <v>0</v>
      </c>
      <c r="Y47" s="214" t="s">
        <v>128</v>
      </c>
      <c r="Z47" s="210">
        <v>0</v>
      </c>
      <c r="AA47" s="196"/>
      <c r="AB47" s="196"/>
      <c r="AC47" s="204" t="e">
        <f t="shared" si="16"/>
        <v>#DIV/0!</v>
      </c>
      <c r="AD47" s="204" t="e">
        <f t="shared" si="17"/>
        <v>#DIV/0!</v>
      </c>
      <c r="AE47" s="204">
        <f t="shared" si="0"/>
        <v>0</v>
      </c>
      <c r="AF47" s="204" t="e">
        <f t="shared" si="1"/>
        <v>#DIV/0!</v>
      </c>
      <c r="AG47" s="216">
        <v>0</v>
      </c>
      <c r="AH47" s="214" t="s">
        <v>128</v>
      </c>
      <c r="AI47" s="210">
        <v>0</v>
      </c>
      <c r="AJ47" s="196"/>
      <c r="AK47" s="196"/>
      <c r="AL47" s="204" t="e">
        <f t="shared" si="18"/>
        <v>#DIV/0!</v>
      </c>
      <c r="AM47" s="204" t="e">
        <f t="shared" si="2"/>
        <v>#DIV/0!</v>
      </c>
      <c r="AN47" s="204">
        <f t="shared" si="3"/>
        <v>0</v>
      </c>
      <c r="AO47" s="204" t="e">
        <f t="shared" si="4"/>
        <v>#DIV/0!</v>
      </c>
      <c r="AP47" s="216">
        <v>0</v>
      </c>
      <c r="AQ47" s="214" t="s">
        <v>128</v>
      </c>
      <c r="AR47" s="210">
        <v>0</v>
      </c>
      <c r="AS47" s="196"/>
      <c r="AT47" s="196"/>
      <c r="AU47" s="204" t="e">
        <f t="shared" si="19"/>
        <v>#DIV/0!</v>
      </c>
      <c r="AV47" s="204" t="e">
        <f t="shared" si="20"/>
        <v>#DIV/0!</v>
      </c>
      <c r="AW47" s="204">
        <f t="shared" si="21"/>
        <v>0</v>
      </c>
      <c r="AX47" s="204" t="e">
        <f t="shared" si="22"/>
        <v>#DIV/0!</v>
      </c>
      <c r="AY47" s="216">
        <v>1</v>
      </c>
      <c r="AZ47" s="214" t="s">
        <v>128</v>
      </c>
      <c r="BA47" s="210">
        <v>0</v>
      </c>
      <c r="BB47" s="196"/>
      <c r="BC47" s="196"/>
      <c r="BD47" s="216">
        <f t="shared" si="23"/>
        <v>0</v>
      </c>
      <c r="BE47" s="216" t="e">
        <f t="shared" si="24"/>
        <v>#DIV/0!</v>
      </c>
      <c r="BF47" s="216">
        <f t="shared" si="25"/>
        <v>0</v>
      </c>
      <c r="BG47" s="216" t="e">
        <f t="shared" si="26"/>
        <v>#DIV/0!</v>
      </c>
      <c r="BH47" s="217" t="str">
        <f t="shared" si="7"/>
        <v>No Prog ni Ejec</v>
      </c>
      <c r="BI47" s="217" t="str">
        <f t="shared" si="8"/>
        <v>No Prog ni Ejec</v>
      </c>
      <c r="BJ47" s="217" t="str">
        <f t="shared" si="9"/>
        <v>No Prog ni Ejec</v>
      </c>
      <c r="BK47" s="217" t="str">
        <f t="shared" si="10"/>
        <v>No Prog ni Ejec</v>
      </c>
      <c r="BL47" s="217" t="str">
        <f t="shared" si="27"/>
        <v>No Prog ni Ejec</v>
      </c>
      <c r="BM47" s="217" t="str">
        <f t="shared" si="28"/>
        <v>No Prog ni Ejec</v>
      </c>
      <c r="BN47" s="217">
        <f t="shared" si="11"/>
        <v>0</v>
      </c>
      <c r="BO47" s="217" t="str">
        <f t="shared" si="12"/>
        <v>No Prog ni Ejec</v>
      </c>
      <c r="BP47" s="206"/>
      <c r="BQ47" s="277">
        <v>5</v>
      </c>
      <c r="BR47" s="208">
        <f t="shared" si="14"/>
        <v>0</v>
      </c>
      <c r="BS47" s="219" t="str">
        <f t="shared" si="29"/>
        <v>Remitir informes trimestrales de los indicadores formulados y las acciones de mejoras</v>
      </c>
      <c r="BT47" s="195">
        <f t="shared" si="13"/>
        <v>0</v>
      </c>
      <c r="BU47" s="196"/>
      <c r="BV47" s="196"/>
      <c r="BW47" s="196"/>
      <c r="BX47" s="196"/>
      <c r="BY47" s="196"/>
      <c r="BZ47" s="19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71.25" x14ac:dyDescent="0.25">
      <c r="A48" s="197">
        <v>11400</v>
      </c>
      <c r="B48" s="194" t="s">
        <v>26</v>
      </c>
      <c r="C48" s="198" t="s">
        <v>188</v>
      </c>
      <c r="D48" s="194" t="s">
        <v>144</v>
      </c>
      <c r="E48" s="198" t="s">
        <v>192</v>
      </c>
      <c r="F48" s="194" t="s">
        <v>189</v>
      </c>
      <c r="G48" s="209" t="s">
        <v>124</v>
      </c>
      <c r="H48" s="227">
        <v>48</v>
      </c>
      <c r="I48" s="198" t="s">
        <v>237</v>
      </c>
      <c r="J48" s="194" t="s">
        <v>190</v>
      </c>
      <c r="K48" s="210">
        <v>100516376</v>
      </c>
      <c r="L48" s="211">
        <v>1</v>
      </c>
      <c r="M48" s="194" t="s">
        <v>46</v>
      </c>
      <c r="N48" s="194" t="s">
        <v>68</v>
      </c>
      <c r="O48" s="194" t="s">
        <v>21</v>
      </c>
      <c r="P48" s="194" t="s">
        <v>36</v>
      </c>
      <c r="Q48" s="194" t="s">
        <v>216</v>
      </c>
      <c r="R48" s="194" t="s">
        <v>209</v>
      </c>
      <c r="S48" s="194" t="s">
        <v>99</v>
      </c>
      <c r="T48" s="215">
        <v>48</v>
      </c>
      <c r="U48" s="212" t="str">
        <f t="shared" si="15"/>
        <v>No. de Procesos de Compensación Ejecutados</v>
      </c>
      <c r="V48" s="213">
        <f t="shared" si="15"/>
        <v>100516376</v>
      </c>
      <c r="W48" s="222" t="s">
        <v>114</v>
      </c>
      <c r="X48" s="284">
        <v>12</v>
      </c>
      <c r="Y48" s="282" t="s">
        <v>190</v>
      </c>
      <c r="Z48" s="283">
        <v>43249020</v>
      </c>
      <c r="AA48" s="279"/>
      <c r="AB48" s="279"/>
      <c r="AC48" s="280">
        <f t="shared" si="16"/>
        <v>0</v>
      </c>
      <c r="AD48" s="280">
        <f t="shared" si="17"/>
        <v>0</v>
      </c>
      <c r="AE48" s="280">
        <f t="shared" si="0"/>
        <v>0</v>
      </c>
      <c r="AF48" s="280">
        <f t="shared" si="1"/>
        <v>0</v>
      </c>
      <c r="AG48" s="284">
        <v>12</v>
      </c>
      <c r="AH48" s="282" t="s">
        <v>190</v>
      </c>
      <c r="AI48" s="283">
        <v>12240000</v>
      </c>
      <c r="AJ48" s="279"/>
      <c r="AK48" s="279"/>
      <c r="AL48" s="280">
        <f t="shared" si="18"/>
        <v>0</v>
      </c>
      <c r="AM48" s="280">
        <f t="shared" si="2"/>
        <v>0</v>
      </c>
      <c r="AN48" s="280">
        <f t="shared" si="3"/>
        <v>0</v>
      </c>
      <c r="AO48" s="280">
        <f t="shared" si="4"/>
        <v>0</v>
      </c>
      <c r="AP48" s="284">
        <v>12</v>
      </c>
      <c r="AQ48" s="282" t="s">
        <v>190</v>
      </c>
      <c r="AR48" s="283">
        <v>17376839</v>
      </c>
      <c r="AS48" s="279"/>
      <c r="AT48" s="279"/>
      <c r="AU48" s="280">
        <f t="shared" si="19"/>
        <v>0</v>
      </c>
      <c r="AV48" s="280">
        <f t="shared" si="20"/>
        <v>0</v>
      </c>
      <c r="AW48" s="280">
        <f t="shared" si="21"/>
        <v>0</v>
      </c>
      <c r="AX48" s="280">
        <f t="shared" si="22"/>
        <v>0</v>
      </c>
      <c r="AY48" s="284">
        <v>12</v>
      </c>
      <c r="AZ48" s="282" t="s">
        <v>190</v>
      </c>
      <c r="BA48" s="283">
        <v>27650517</v>
      </c>
      <c r="BB48" s="279"/>
      <c r="BC48" s="279"/>
      <c r="BD48" s="281">
        <f t="shared" si="23"/>
        <v>0</v>
      </c>
      <c r="BE48" s="281">
        <f t="shared" si="24"/>
        <v>0</v>
      </c>
      <c r="BF48" s="281">
        <f t="shared" si="25"/>
        <v>0</v>
      </c>
      <c r="BG48" s="281">
        <f t="shared" si="26"/>
        <v>0</v>
      </c>
      <c r="BH48" s="205">
        <f t="shared" si="7"/>
        <v>0</v>
      </c>
      <c r="BI48" s="205">
        <f t="shared" si="8"/>
        <v>0</v>
      </c>
      <c r="BJ48" s="205">
        <f t="shared" si="9"/>
        <v>0</v>
      </c>
      <c r="BK48" s="205">
        <f t="shared" si="10"/>
        <v>0</v>
      </c>
      <c r="BL48" s="205">
        <f t="shared" si="27"/>
        <v>0</v>
      </c>
      <c r="BM48" s="205">
        <f t="shared" si="28"/>
        <v>0</v>
      </c>
      <c r="BN48" s="205">
        <f t="shared" si="11"/>
        <v>0</v>
      </c>
      <c r="BO48" s="205">
        <f t="shared" si="12"/>
        <v>0</v>
      </c>
      <c r="BP48" s="206"/>
      <c r="BQ48" s="277">
        <v>1</v>
      </c>
      <c r="BR48" s="218">
        <f t="shared" si="14"/>
        <v>28</v>
      </c>
      <c r="BS48" s="219" t="str">
        <f t="shared" si="29"/>
        <v>No. de Procesos de Compensación Ejecutados</v>
      </c>
      <c r="BT48" s="195">
        <f t="shared" si="13"/>
        <v>61281299.666666664</v>
      </c>
      <c r="BU48" s="196"/>
      <c r="BV48" s="196"/>
      <c r="BW48" s="196"/>
      <c r="BX48" s="196"/>
      <c r="BY48" s="196"/>
      <c r="BZ48" s="19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71.25" x14ac:dyDescent="0.25">
      <c r="A49" s="197">
        <v>11400</v>
      </c>
      <c r="B49" s="194" t="s">
        <v>26</v>
      </c>
      <c r="C49" s="198" t="s">
        <v>188</v>
      </c>
      <c r="D49" s="194" t="s">
        <v>144</v>
      </c>
      <c r="E49" s="198" t="s">
        <v>479</v>
      </c>
      <c r="F49" s="194" t="s">
        <v>191</v>
      </c>
      <c r="G49" s="209" t="s">
        <v>124</v>
      </c>
      <c r="H49" s="198">
        <v>12</v>
      </c>
      <c r="I49" s="198" t="s">
        <v>480</v>
      </c>
      <c r="J49" s="194" t="s">
        <v>597</v>
      </c>
      <c r="K49" s="210">
        <v>0</v>
      </c>
      <c r="L49" s="211">
        <v>1</v>
      </c>
      <c r="M49" s="194" t="s">
        <v>46</v>
      </c>
      <c r="N49" s="194" t="s">
        <v>68</v>
      </c>
      <c r="O49" s="194" t="s">
        <v>21</v>
      </c>
      <c r="P49" s="194" t="s">
        <v>36</v>
      </c>
      <c r="Q49" s="194" t="s">
        <v>223</v>
      </c>
      <c r="R49" s="194" t="s">
        <v>231</v>
      </c>
      <c r="S49" s="194" t="s">
        <v>99</v>
      </c>
      <c r="T49" s="215">
        <v>12</v>
      </c>
      <c r="U49" s="212" t="str">
        <f t="shared" si="15"/>
        <v>No. de Procesos de LMA Ejecutados</v>
      </c>
      <c r="V49" s="213">
        <f t="shared" si="15"/>
        <v>0</v>
      </c>
      <c r="W49" s="214" t="s">
        <v>117</v>
      </c>
      <c r="X49" s="284">
        <v>3</v>
      </c>
      <c r="Y49" s="282" t="s">
        <v>597</v>
      </c>
      <c r="Z49" s="283">
        <v>0</v>
      </c>
      <c r="AA49" s="279"/>
      <c r="AB49" s="279"/>
      <c r="AC49" s="280">
        <f t="shared" si="16"/>
        <v>0</v>
      </c>
      <c r="AD49" s="280" t="e">
        <f t="shared" si="17"/>
        <v>#DIV/0!</v>
      </c>
      <c r="AE49" s="280">
        <f t="shared" si="0"/>
        <v>0</v>
      </c>
      <c r="AF49" s="280" t="e">
        <f t="shared" si="1"/>
        <v>#DIV/0!</v>
      </c>
      <c r="AG49" s="284">
        <v>3</v>
      </c>
      <c r="AH49" s="282" t="s">
        <v>597</v>
      </c>
      <c r="AI49" s="283">
        <v>0</v>
      </c>
      <c r="AJ49" s="279"/>
      <c r="AK49" s="279"/>
      <c r="AL49" s="280">
        <f t="shared" si="18"/>
        <v>0</v>
      </c>
      <c r="AM49" s="280" t="e">
        <f t="shared" si="2"/>
        <v>#DIV/0!</v>
      </c>
      <c r="AN49" s="280">
        <f t="shared" si="3"/>
        <v>0</v>
      </c>
      <c r="AO49" s="280" t="e">
        <f t="shared" si="4"/>
        <v>#DIV/0!</v>
      </c>
      <c r="AP49" s="284">
        <v>3</v>
      </c>
      <c r="AQ49" s="282" t="s">
        <v>597</v>
      </c>
      <c r="AR49" s="283">
        <v>0</v>
      </c>
      <c r="AS49" s="279"/>
      <c r="AT49" s="279"/>
      <c r="AU49" s="280">
        <f t="shared" si="19"/>
        <v>0</v>
      </c>
      <c r="AV49" s="280" t="e">
        <f t="shared" si="20"/>
        <v>#DIV/0!</v>
      </c>
      <c r="AW49" s="280">
        <f t="shared" si="21"/>
        <v>0</v>
      </c>
      <c r="AX49" s="280" t="e">
        <f t="shared" si="22"/>
        <v>#DIV/0!</v>
      </c>
      <c r="AY49" s="284">
        <v>3</v>
      </c>
      <c r="AZ49" s="282" t="s">
        <v>597</v>
      </c>
      <c r="BA49" s="283">
        <v>0</v>
      </c>
      <c r="BB49" s="279"/>
      <c r="BC49" s="279"/>
      <c r="BD49" s="281">
        <f t="shared" si="23"/>
        <v>0</v>
      </c>
      <c r="BE49" s="281" t="e">
        <f t="shared" si="24"/>
        <v>#DIV/0!</v>
      </c>
      <c r="BF49" s="281">
        <f t="shared" si="25"/>
        <v>0</v>
      </c>
      <c r="BG49" s="281" t="e">
        <f t="shared" si="26"/>
        <v>#DIV/0!</v>
      </c>
      <c r="BH49" s="205">
        <f t="shared" si="7"/>
        <v>0</v>
      </c>
      <c r="BI49" s="205" t="str">
        <f t="shared" si="8"/>
        <v>No Prog ni Ejec</v>
      </c>
      <c r="BJ49" s="205">
        <f t="shared" si="9"/>
        <v>0</v>
      </c>
      <c r="BK49" s="205" t="str">
        <f t="shared" si="10"/>
        <v>No Prog ni Ejec</v>
      </c>
      <c r="BL49" s="205">
        <f t="shared" si="27"/>
        <v>0</v>
      </c>
      <c r="BM49" s="205" t="str">
        <f t="shared" si="28"/>
        <v>No Prog ni Ejec</v>
      </c>
      <c r="BN49" s="205">
        <f t="shared" si="11"/>
        <v>0</v>
      </c>
      <c r="BO49" s="205" t="str">
        <f t="shared" si="12"/>
        <v>No Prog ni Ejec</v>
      </c>
      <c r="BP49" s="206"/>
      <c r="BQ49" s="277">
        <v>1</v>
      </c>
      <c r="BR49" s="218">
        <f t="shared" si="14"/>
        <v>7</v>
      </c>
      <c r="BS49" s="219" t="str">
        <f t="shared" si="29"/>
        <v>No. de Procesos de LMA Ejecutados</v>
      </c>
      <c r="BT49" s="195">
        <f t="shared" si="13"/>
        <v>0</v>
      </c>
      <c r="BU49" s="196"/>
      <c r="BV49" s="196"/>
      <c r="BW49" s="196"/>
      <c r="BX49" s="196"/>
      <c r="BY49" s="196"/>
      <c r="BZ49" s="19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71.25" x14ac:dyDescent="0.25">
      <c r="A50" s="197">
        <v>11400</v>
      </c>
      <c r="B50" s="194" t="s">
        <v>26</v>
      </c>
      <c r="C50" s="198" t="s">
        <v>188</v>
      </c>
      <c r="D50" s="194" t="s">
        <v>144</v>
      </c>
      <c r="E50" s="198" t="s">
        <v>481</v>
      </c>
      <c r="F50" s="194" t="s">
        <v>233</v>
      </c>
      <c r="G50" s="209" t="s">
        <v>124</v>
      </c>
      <c r="H50" s="227">
        <v>48</v>
      </c>
      <c r="I50" s="198" t="s">
        <v>482</v>
      </c>
      <c r="J50" s="194" t="s">
        <v>193</v>
      </c>
      <c r="K50" s="210">
        <v>0</v>
      </c>
      <c r="L50" s="211">
        <v>1</v>
      </c>
      <c r="M50" s="194" t="s">
        <v>46</v>
      </c>
      <c r="N50" s="194" t="s">
        <v>68</v>
      </c>
      <c r="O50" s="194" t="s">
        <v>21</v>
      </c>
      <c r="P50" s="194" t="s">
        <v>36</v>
      </c>
      <c r="Q50" s="194" t="s">
        <v>216</v>
      </c>
      <c r="R50" s="194" t="s">
        <v>232</v>
      </c>
      <c r="S50" s="194" t="s">
        <v>99</v>
      </c>
      <c r="T50" s="215">
        <v>48</v>
      </c>
      <c r="U50" s="212" t="str">
        <f t="shared" si="15"/>
        <v>Publicación Giro Directo Régimen Contributivo</v>
      </c>
      <c r="V50" s="213">
        <f t="shared" si="15"/>
        <v>0</v>
      </c>
      <c r="W50" s="214" t="s">
        <v>117</v>
      </c>
      <c r="X50" s="284">
        <v>12</v>
      </c>
      <c r="Y50" s="282" t="s">
        <v>193</v>
      </c>
      <c r="Z50" s="283">
        <v>0</v>
      </c>
      <c r="AA50" s="279"/>
      <c r="AB50" s="279"/>
      <c r="AC50" s="280">
        <f t="shared" si="16"/>
        <v>0</v>
      </c>
      <c r="AD50" s="280" t="e">
        <f t="shared" si="17"/>
        <v>#DIV/0!</v>
      </c>
      <c r="AE50" s="280">
        <f t="shared" si="0"/>
        <v>0</v>
      </c>
      <c r="AF50" s="280" t="e">
        <f t="shared" si="1"/>
        <v>#DIV/0!</v>
      </c>
      <c r="AG50" s="284">
        <v>12</v>
      </c>
      <c r="AH50" s="282" t="s">
        <v>193</v>
      </c>
      <c r="AI50" s="283">
        <v>0</v>
      </c>
      <c r="AJ50" s="279"/>
      <c r="AK50" s="279"/>
      <c r="AL50" s="280">
        <f t="shared" si="18"/>
        <v>0</v>
      </c>
      <c r="AM50" s="280" t="e">
        <f t="shared" si="2"/>
        <v>#DIV/0!</v>
      </c>
      <c r="AN50" s="280">
        <f t="shared" si="3"/>
        <v>0</v>
      </c>
      <c r="AO50" s="280" t="e">
        <f t="shared" si="4"/>
        <v>#DIV/0!</v>
      </c>
      <c r="AP50" s="284">
        <v>12</v>
      </c>
      <c r="AQ50" s="282" t="s">
        <v>193</v>
      </c>
      <c r="AR50" s="283">
        <v>0</v>
      </c>
      <c r="AS50" s="279"/>
      <c r="AT50" s="279"/>
      <c r="AU50" s="280">
        <f t="shared" si="19"/>
        <v>0</v>
      </c>
      <c r="AV50" s="280" t="e">
        <f t="shared" si="20"/>
        <v>#DIV/0!</v>
      </c>
      <c r="AW50" s="280">
        <f t="shared" si="21"/>
        <v>0</v>
      </c>
      <c r="AX50" s="280" t="e">
        <f t="shared" si="22"/>
        <v>#DIV/0!</v>
      </c>
      <c r="AY50" s="284">
        <v>12</v>
      </c>
      <c r="AZ50" s="282" t="s">
        <v>193</v>
      </c>
      <c r="BA50" s="283">
        <v>0</v>
      </c>
      <c r="BB50" s="279"/>
      <c r="BC50" s="279"/>
      <c r="BD50" s="281">
        <f t="shared" si="23"/>
        <v>0</v>
      </c>
      <c r="BE50" s="281" t="e">
        <f t="shared" si="24"/>
        <v>#DIV/0!</v>
      </c>
      <c r="BF50" s="281">
        <f t="shared" si="25"/>
        <v>0</v>
      </c>
      <c r="BG50" s="281" t="e">
        <f t="shared" si="26"/>
        <v>#DIV/0!</v>
      </c>
      <c r="BH50" s="205">
        <f t="shared" si="7"/>
        <v>0</v>
      </c>
      <c r="BI50" s="205" t="str">
        <f t="shared" si="8"/>
        <v>No Prog ni Ejec</v>
      </c>
      <c r="BJ50" s="205">
        <f t="shared" si="9"/>
        <v>0</v>
      </c>
      <c r="BK50" s="205" t="str">
        <f t="shared" si="10"/>
        <v>No Prog ni Ejec</v>
      </c>
      <c r="BL50" s="205">
        <f t="shared" si="27"/>
        <v>0</v>
      </c>
      <c r="BM50" s="205" t="str">
        <f t="shared" si="28"/>
        <v>No Prog ni Ejec</v>
      </c>
      <c r="BN50" s="205">
        <f t="shared" si="11"/>
        <v>0</v>
      </c>
      <c r="BO50" s="205" t="str">
        <f t="shared" si="12"/>
        <v>No Prog ni Ejec</v>
      </c>
      <c r="BP50" s="206"/>
      <c r="BQ50" s="277">
        <v>1</v>
      </c>
      <c r="BR50" s="218">
        <f t="shared" si="14"/>
        <v>28</v>
      </c>
      <c r="BS50" s="219" t="str">
        <f t="shared" si="29"/>
        <v>Publicación Giro Directo Régimen Contributivo</v>
      </c>
      <c r="BT50" s="195">
        <f t="shared" si="13"/>
        <v>0</v>
      </c>
      <c r="BU50" s="196"/>
      <c r="BV50" s="196"/>
      <c r="BW50" s="196"/>
      <c r="BX50" s="196"/>
      <c r="BY50" s="196"/>
      <c r="BZ50" s="19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71.25" x14ac:dyDescent="0.25">
      <c r="A51" s="197">
        <v>11400</v>
      </c>
      <c r="B51" s="194" t="s">
        <v>26</v>
      </c>
      <c r="C51" s="198" t="s">
        <v>188</v>
      </c>
      <c r="D51" s="194" t="s">
        <v>144</v>
      </c>
      <c r="E51" s="198" t="s">
        <v>481</v>
      </c>
      <c r="F51" s="194" t="s">
        <v>234</v>
      </c>
      <c r="G51" s="209" t="s">
        <v>124</v>
      </c>
      <c r="H51" s="198">
        <v>12</v>
      </c>
      <c r="I51" s="198" t="s">
        <v>483</v>
      </c>
      <c r="J51" s="194" t="s">
        <v>194</v>
      </c>
      <c r="K51" s="210">
        <v>0</v>
      </c>
      <c r="L51" s="211">
        <v>1</v>
      </c>
      <c r="M51" s="194" t="s">
        <v>46</v>
      </c>
      <c r="N51" s="194" t="s">
        <v>68</v>
      </c>
      <c r="O51" s="194" t="s">
        <v>21</v>
      </c>
      <c r="P51" s="194" t="s">
        <v>36</v>
      </c>
      <c r="Q51" s="194" t="s">
        <v>223</v>
      </c>
      <c r="R51" s="194" t="s">
        <v>232</v>
      </c>
      <c r="S51" s="194" t="s">
        <v>99</v>
      </c>
      <c r="T51" s="215">
        <v>12</v>
      </c>
      <c r="U51" s="212" t="str">
        <f t="shared" si="15"/>
        <v>Publicación Giro Directo Régimen Subsidiado</v>
      </c>
      <c r="V51" s="213">
        <f t="shared" si="15"/>
        <v>0</v>
      </c>
      <c r="W51" s="214" t="s">
        <v>117</v>
      </c>
      <c r="X51" s="284">
        <v>3</v>
      </c>
      <c r="Y51" s="282" t="s">
        <v>194</v>
      </c>
      <c r="Z51" s="283">
        <v>0</v>
      </c>
      <c r="AA51" s="279"/>
      <c r="AB51" s="279"/>
      <c r="AC51" s="280">
        <f t="shared" si="16"/>
        <v>0</v>
      </c>
      <c r="AD51" s="280" t="e">
        <f t="shared" si="17"/>
        <v>#DIV/0!</v>
      </c>
      <c r="AE51" s="280">
        <f t="shared" si="0"/>
        <v>0</v>
      </c>
      <c r="AF51" s="280" t="e">
        <f t="shared" si="1"/>
        <v>#DIV/0!</v>
      </c>
      <c r="AG51" s="284">
        <v>3</v>
      </c>
      <c r="AH51" s="282" t="s">
        <v>194</v>
      </c>
      <c r="AI51" s="283">
        <v>0</v>
      </c>
      <c r="AJ51" s="279"/>
      <c r="AK51" s="279"/>
      <c r="AL51" s="280">
        <f t="shared" si="18"/>
        <v>0</v>
      </c>
      <c r="AM51" s="280" t="e">
        <f t="shared" si="2"/>
        <v>#DIV/0!</v>
      </c>
      <c r="AN51" s="280">
        <f t="shared" si="3"/>
        <v>0</v>
      </c>
      <c r="AO51" s="280" t="e">
        <f t="shared" si="4"/>
        <v>#DIV/0!</v>
      </c>
      <c r="AP51" s="284">
        <v>3</v>
      </c>
      <c r="AQ51" s="282" t="s">
        <v>194</v>
      </c>
      <c r="AR51" s="283">
        <v>0</v>
      </c>
      <c r="AS51" s="279"/>
      <c r="AT51" s="279"/>
      <c r="AU51" s="280">
        <f t="shared" si="19"/>
        <v>0</v>
      </c>
      <c r="AV51" s="280" t="e">
        <f t="shared" si="20"/>
        <v>#DIV/0!</v>
      </c>
      <c r="AW51" s="280">
        <f t="shared" si="21"/>
        <v>0</v>
      </c>
      <c r="AX51" s="280" t="e">
        <f t="shared" si="22"/>
        <v>#DIV/0!</v>
      </c>
      <c r="AY51" s="284">
        <v>3</v>
      </c>
      <c r="AZ51" s="282" t="s">
        <v>194</v>
      </c>
      <c r="BA51" s="283">
        <v>0</v>
      </c>
      <c r="BB51" s="279"/>
      <c r="BC51" s="279"/>
      <c r="BD51" s="281">
        <f t="shared" si="23"/>
        <v>0</v>
      </c>
      <c r="BE51" s="281" t="e">
        <f t="shared" si="24"/>
        <v>#DIV/0!</v>
      </c>
      <c r="BF51" s="281">
        <f t="shared" si="25"/>
        <v>0</v>
      </c>
      <c r="BG51" s="281" t="e">
        <f t="shared" si="26"/>
        <v>#DIV/0!</v>
      </c>
      <c r="BH51" s="205">
        <f t="shared" si="7"/>
        <v>0</v>
      </c>
      <c r="BI51" s="205" t="str">
        <f t="shared" si="8"/>
        <v>No Prog ni Ejec</v>
      </c>
      <c r="BJ51" s="205">
        <f t="shared" si="9"/>
        <v>0</v>
      </c>
      <c r="BK51" s="205" t="str">
        <f t="shared" si="10"/>
        <v>No Prog ni Ejec</v>
      </c>
      <c r="BL51" s="205">
        <f t="shared" si="27"/>
        <v>0</v>
      </c>
      <c r="BM51" s="205" t="str">
        <f t="shared" si="28"/>
        <v>No Prog ni Ejec</v>
      </c>
      <c r="BN51" s="205">
        <f t="shared" si="11"/>
        <v>0</v>
      </c>
      <c r="BO51" s="205" t="str">
        <f t="shared" si="12"/>
        <v>No Prog ni Ejec</v>
      </c>
      <c r="BP51" s="206"/>
      <c r="BQ51" s="277">
        <v>1</v>
      </c>
      <c r="BR51" s="218">
        <f t="shared" si="14"/>
        <v>7</v>
      </c>
      <c r="BS51" s="219" t="str">
        <f t="shared" si="29"/>
        <v>Publicación Giro Directo Régimen Subsidiado</v>
      </c>
      <c r="BT51" s="195">
        <f t="shared" si="13"/>
        <v>0</v>
      </c>
      <c r="BU51" s="196"/>
      <c r="BV51" s="196"/>
      <c r="BW51" s="196"/>
      <c r="BX51" s="196"/>
      <c r="BY51" s="196"/>
      <c r="BZ51" s="19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71.25" x14ac:dyDescent="0.25">
      <c r="A52" s="197">
        <v>11400</v>
      </c>
      <c r="B52" s="194" t="s">
        <v>26</v>
      </c>
      <c r="C52" s="198" t="s">
        <v>188</v>
      </c>
      <c r="D52" s="194" t="s">
        <v>144</v>
      </c>
      <c r="E52" s="198" t="s">
        <v>484</v>
      </c>
      <c r="F52" s="194" t="s">
        <v>195</v>
      </c>
      <c r="G52" s="209" t="s">
        <v>123</v>
      </c>
      <c r="H52" s="216">
        <v>1</v>
      </c>
      <c r="I52" s="198" t="s">
        <v>485</v>
      </c>
      <c r="J52" s="194" t="s">
        <v>196</v>
      </c>
      <c r="K52" s="210">
        <v>0</v>
      </c>
      <c r="L52" s="211">
        <v>1</v>
      </c>
      <c r="M52" s="194" t="s">
        <v>46</v>
      </c>
      <c r="N52" s="194" t="s">
        <v>68</v>
      </c>
      <c r="O52" s="194" t="s">
        <v>21</v>
      </c>
      <c r="P52" s="194" t="s">
        <v>36</v>
      </c>
      <c r="Q52" s="194" t="s">
        <v>216</v>
      </c>
      <c r="R52" s="194" t="s">
        <v>235</v>
      </c>
      <c r="S52" s="194" t="s">
        <v>99</v>
      </c>
      <c r="T52" s="211">
        <v>1</v>
      </c>
      <c r="U52" s="212" t="str">
        <f t="shared" si="15"/>
        <v>Trámite de prestaciones económicas REX</v>
      </c>
      <c r="V52" s="213">
        <f t="shared" si="15"/>
        <v>0</v>
      </c>
      <c r="W52" s="214" t="s">
        <v>117</v>
      </c>
      <c r="X52" s="281">
        <v>1</v>
      </c>
      <c r="Y52" s="282" t="s">
        <v>196</v>
      </c>
      <c r="Z52" s="283">
        <v>0</v>
      </c>
      <c r="AA52" s="279"/>
      <c r="AB52" s="279"/>
      <c r="AC52" s="280">
        <f t="shared" si="16"/>
        <v>0</v>
      </c>
      <c r="AD52" s="280" t="e">
        <f t="shared" si="17"/>
        <v>#DIV/0!</v>
      </c>
      <c r="AE52" s="280">
        <f t="shared" si="0"/>
        <v>0</v>
      </c>
      <c r="AF52" s="280" t="e">
        <f t="shared" si="1"/>
        <v>#DIV/0!</v>
      </c>
      <c r="AG52" s="281">
        <v>1</v>
      </c>
      <c r="AH52" s="282" t="s">
        <v>196</v>
      </c>
      <c r="AI52" s="283">
        <v>0</v>
      </c>
      <c r="AJ52" s="279"/>
      <c r="AK52" s="279"/>
      <c r="AL52" s="280">
        <f t="shared" si="18"/>
        <v>0</v>
      </c>
      <c r="AM52" s="280" t="e">
        <f t="shared" si="2"/>
        <v>#DIV/0!</v>
      </c>
      <c r="AN52" s="280">
        <f t="shared" si="3"/>
        <v>0</v>
      </c>
      <c r="AO52" s="280" t="e">
        <f t="shared" si="4"/>
        <v>#DIV/0!</v>
      </c>
      <c r="AP52" s="281">
        <v>1</v>
      </c>
      <c r="AQ52" s="282" t="s">
        <v>196</v>
      </c>
      <c r="AR52" s="283">
        <v>0</v>
      </c>
      <c r="AS52" s="279"/>
      <c r="AT52" s="279"/>
      <c r="AU52" s="280">
        <f t="shared" si="19"/>
        <v>0</v>
      </c>
      <c r="AV52" s="280" t="e">
        <f t="shared" si="20"/>
        <v>#DIV/0!</v>
      </c>
      <c r="AW52" s="280">
        <f t="shared" si="21"/>
        <v>0</v>
      </c>
      <c r="AX52" s="280" t="e">
        <f t="shared" si="22"/>
        <v>#DIV/0!</v>
      </c>
      <c r="AY52" s="281">
        <v>1</v>
      </c>
      <c r="AZ52" s="282" t="s">
        <v>196</v>
      </c>
      <c r="BA52" s="283">
        <v>0</v>
      </c>
      <c r="BB52" s="279"/>
      <c r="BC52" s="279"/>
      <c r="BD52" s="281">
        <f t="shared" si="23"/>
        <v>0</v>
      </c>
      <c r="BE52" s="281" t="e">
        <f t="shared" si="24"/>
        <v>#DIV/0!</v>
      </c>
      <c r="BF52" s="281">
        <f t="shared" si="25"/>
        <v>0</v>
      </c>
      <c r="BG52" s="281" t="e">
        <f t="shared" si="26"/>
        <v>#DIV/0!</v>
      </c>
      <c r="BH52" s="205">
        <f t="shared" si="7"/>
        <v>0</v>
      </c>
      <c r="BI52" s="205" t="str">
        <f t="shared" si="8"/>
        <v>No Prog ni Ejec</v>
      </c>
      <c r="BJ52" s="205">
        <f t="shared" si="9"/>
        <v>0</v>
      </c>
      <c r="BK52" s="205" t="str">
        <f t="shared" si="10"/>
        <v>No Prog ni Ejec</v>
      </c>
      <c r="BL52" s="205">
        <f t="shared" si="27"/>
        <v>0</v>
      </c>
      <c r="BM52" s="205" t="str">
        <f t="shared" si="28"/>
        <v>No Prog ni Ejec</v>
      </c>
      <c r="BN52" s="205">
        <f t="shared" si="11"/>
        <v>0</v>
      </c>
      <c r="BO52" s="205" t="str">
        <f t="shared" si="12"/>
        <v>No Prog ni Ejec</v>
      </c>
      <c r="BP52" s="206"/>
      <c r="BQ52" s="277">
        <v>1</v>
      </c>
      <c r="BR52" s="208">
        <f t="shared" si="14"/>
        <v>2.3333333333333335</v>
      </c>
      <c r="BS52" s="219" t="str">
        <f t="shared" si="29"/>
        <v>Trámite de prestaciones económicas REX</v>
      </c>
      <c r="BT52" s="195">
        <f t="shared" si="13"/>
        <v>0</v>
      </c>
      <c r="BU52" s="196"/>
      <c r="BV52" s="196"/>
      <c r="BW52" s="196"/>
      <c r="BX52" s="196"/>
      <c r="BY52" s="196"/>
      <c r="BZ52" s="19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71.25" x14ac:dyDescent="0.25">
      <c r="A53" s="197">
        <v>11400</v>
      </c>
      <c r="B53" s="194" t="s">
        <v>26</v>
      </c>
      <c r="C53" s="198" t="s">
        <v>188</v>
      </c>
      <c r="D53" s="194" t="s">
        <v>144</v>
      </c>
      <c r="E53" s="198" t="s">
        <v>484</v>
      </c>
      <c r="F53" s="194" t="s">
        <v>195</v>
      </c>
      <c r="G53" s="209" t="s">
        <v>123</v>
      </c>
      <c r="H53" s="216">
        <v>1</v>
      </c>
      <c r="I53" s="198" t="s">
        <v>486</v>
      </c>
      <c r="J53" s="194" t="s">
        <v>197</v>
      </c>
      <c r="K53" s="210">
        <v>48960000</v>
      </c>
      <c r="L53" s="211">
        <v>1</v>
      </c>
      <c r="M53" s="194" t="s">
        <v>46</v>
      </c>
      <c r="N53" s="194" t="s">
        <v>68</v>
      </c>
      <c r="O53" s="194" t="s">
        <v>21</v>
      </c>
      <c r="P53" s="194" t="s">
        <v>36</v>
      </c>
      <c r="Q53" s="194" t="s">
        <v>216</v>
      </c>
      <c r="R53" s="194" t="s">
        <v>236</v>
      </c>
      <c r="S53" s="194" t="s">
        <v>99</v>
      </c>
      <c r="T53" s="211">
        <v>1</v>
      </c>
      <c r="U53" s="212" t="str">
        <f t="shared" si="15"/>
        <v>Trámite de devolución de aportes REX</v>
      </c>
      <c r="V53" s="213">
        <f t="shared" si="15"/>
        <v>48960000</v>
      </c>
      <c r="W53" s="222" t="s">
        <v>114</v>
      </c>
      <c r="X53" s="216">
        <v>1</v>
      </c>
      <c r="Y53" s="214" t="s">
        <v>197</v>
      </c>
      <c r="Z53" s="210">
        <v>12240000</v>
      </c>
      <c r="AA53" s="196"/>
      <c r="AB53" s="196"/>
      <c r="AC53" s="204">
        <f t="shared" si="16"/>
        <v>0</v>
      </c>
      <c r="AD53" s="204">
        <f t="shared" si="17"/>
        <v>0</v>
      </c>
      <c r="AE53" s="204">
        <f t="shared" si="0"/>
        <v>0</v>
      </c>
      <c r="AF53" s="204">
        <f t="shared" si="1"/>
        <v>0</v>
      </c>
      <c r="AG53" s="216">
        <v>1</v>
      </c>
      <c r="AH53" s="214" t="s">
        <v>197</v>
      </c>
      <c r="AI53" s="210">
        <v>12240000</v>
      </c>
      <c r="AJ53" s="196"/>
      <c r="AK53" s="196"/>
      <c r="AL53" s="204">
        <f t="shared" si="18"/>
        <v>0</v>
      </c>
      <c r="AM53" s="204">
        <f t="shared" si="2"/>
        <v>0</v>
      </c>
      <c r="AN53" s="204">
        <f t="shared" si="3"/>
        <v>0</v>
      </c>
      <c r="AO53" s="204">
        <f t="shared" si="4"/>
        <v>0</v>
      </c>
      <c r="AP53" s="216">
        <v>1</v>
      </c>
      <c r="AQ53" s="214" t="s">
        <v>197</v>
      </c>
      <c r="AR53" s="210">
        <v>12240000</v>
      </c>
      <c r="AS53" s="196"/>
      <c r="AT53" s="196"/>
      <c r="AU53" s="204">
        <f t="shared" si="19"/>
        <v>0</v>
      </c>
      <c r="AV53" s="204">
        <f t="shared" si="20"/>
        <v>0</v>
      </c>
      <c r="AW53" s="204">
        <f t="shared" si="21"/>
        <v>0</v>
      </c>
      <c r="AX53" s="204">
        <f t="shared" si="22"/>
        <v>0</v>
      </c>
      <c r="AY53" s="216">
        <v>1</v>
      </c>
      <c r="AZ53" s="214" t="s">
        <v>197</v>
      </c>
      <c r="BA53" s="210">
        <v>12240000</v>
      </c>
      <c r="BB53" s="196"/>
      <c r="BC53" s="196"/>
      <c r="BD53" s="216">
        <f t="shared" si="23"/>
        <v>0</v>
      </c>
      <c r="BE53" s="216">
        <f t="shared" si="24"/>
        <v>0</v>
      </c>
      <c r="BF53" s="216">
        <f t="shared" si="25"/>
        <v>0</v>
      </c>
      <c r="BG53" s="216">
        <f t="shared" si="26"/>
        <v>0</v>
      </c>
      <c r="BH53" s="228">
        <f t="shared" si="7"/>
        <v>0</v>
      </c>
      <c r="BI53" s="228">
        <f t="shared" si="8"/>
        <v>0</v>
      </c>
      <c r="BJ53" s="228">
        <f t="shared" si="9"/>
        <v>0</v>
      </c>
      <c r="BK53" s="228">
        <f t="shared" si="10"/>
        <v>0</v>
      </c>
      <c r="BL53" s="228">
        <f t="shared" si="27"/>
        <v>0</v>
      </c>
      <c r="BM53" s="228">
        <f t="shared" si="28"/>
        <v>0</v>
      </c>
      <c r="BN53" s="228">
        <f t="shared" si="11"/>
        <v>0</v>
      </c>
      <c r="BO53" s="228">
        <f t="shared" si="12"/>
        <v>0</v>
      </c>
      <c r="BP53" s="206"/>
      <c r="BQ53" s="277">
        <v>1</v>
      </c>
      <c r="BR53" s="208">
        <f t="shared" si="14"/>
        <v>2.3333333333333335</v>
      </c>
      <c r="BS53" s="219" t="str">
        <f t="shared" si="29"/>
        <v>Trámite de devolución de aportes REX</v>
      </c>
      <c r="BT53" s="195">
        <f t="shared" si="13"/>
        <v>28560000</v>
      </c>
      <c r="BU53" s="196"/>
      <c r="BV53" s="196"/>
      <c r="BW53" s="196"/>
      <c r="BX53" s="196"/>
      <c r="BY53" s="196"/>
      <c r="BZ53" s="19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71.25" x14ac:dyDescent="0.25">
      <c r="A54" s="197">
        <v>11400</v>
      </c>
      <c r="B54" s="194" t="s">
        <v>26</v>
      </c>
      <c r="C54" s="198" t="s">
        <v>188</v>
      </c>
      <c r="D54" s="194" t="s">
        <v>144</v>
      </c>
      <c r="E54" s="198" t="s">
        <v>487</v>
      </c>
      <c r="F54" s="194" t="s">
        <v>476</v>
      </c>
      <c r="G54" s="209" t="s">
        <v>123</v>
      </c>
      <c r="H54" s="216">
        <v>1</v>
      </c>
      <c r="I54" s="198" t="s">
        <v>488</v>
      </c>
      <c r="J54" s="194" t="s">
        <v>473</v>
      </c>
      <c r="K54" s="210">
        <v>164378848</v>
      </c>
      <c r="L54" s="211">
        <v>1</v>
      </c>
      <c r="M54" s="194" t="s">
        <v>46</v>
      </c>
      <c r="N54" s="194" t="s">
        <v>68</v>
      </c>
      <c r="O54" s="194" t="s">
        <v>21</v>
      </c>
      <c r="P54" s="194" t="s">
        <v>36</v>
      </c>
      <c r="Q54" s="194" t="s">
        <v>216</v>
      </c>
      <c r="R54" s="194" t="s">
        <v>474</v>
      </c>
      <c r="S54" s="194" t="s">
        <v>99</v>
      </c>
      <c r="T54" s="211">
        <v>1</v>
      </c>
      <c r="U54" s="212" t="str">
        <f t="shared" si="15"/>
        <v>Elaboración de solicitudes de aclaración sobre apropiaciones sin justa causa</v>
      </c>
      <c r="V54" s="213">
        <f t="shared" si="15"/>
        <v>164378848</v>
      </c>
      <c r="W54" s="222" t="s">
        <v>114</v>
      </c>
      <c r="X54" s="216">
        <v>1</v>
      </c>
      <c r="Y54" s="214" t="s">
        <v>473</v>
      </c>
      <c r="Z54" s="210">
        <v>46231551</v>
      </c>
      <c r="AA54" s="196"/>
      <c r="AB54" s="196"/>
      <c r="AC54" s="204">
        <f t="shared" si="16"/>
        <v>0</v>
      </c>
      <c r="AD54" s="204">
        <f t="shared" si="17"/>
        <v>0</v>
      </c>
      <c r="AE54" s="204">
        <f t="shared" si="0"/>
        <v>0</v>
      </c>
      <c r="AF54" s="204">
        <f t="shared" si="1"/>
        <v>0</v>
      </c>
      <c r="AG54" s="216">
        <v>1</v>
      </c>
      <c r="AH54" s="214" t="s">
        <v>473</v>
      </c>
      <c r="AI54" s="210">
        <v>46231551</v>
      </c>
      <c r="AJ54" s="196"/>
      <c r="AK54" s="196"/>
      <c r="AL54" s="204">
        <f t="shared" si="18"/>
        <v>0</v>
      </c>
      <c r="AM54" s="204">
        <f t="shared" si="2"/>
        <v>0</v>
      </c>
      <c r="AN54" s="204">
        <f t="shared" si="3"/>
        <v>0</v>
      </c>
      <c r="AO54" s="204">
        <f t="shared" si="4"/>
        <v>0</v>
      </c>
      <c r="AP54" s="216">
        <v>1</v>
      </c>
      <c r="AQ54" s="214" t="s">
        <v>473</v>
      </c>
      <c r="AR54" s="210">
        <v>41094712</v>
      </c>
      <c r="AS54" s="196"/>
      <c r="AT54" s="196"/>
      <c r="AU54" s="204">
        <f t="shared" si="19"/>
        <v>0</v>
      </c>
      <c r="AV54" s="204">
        <f t="shared" si="20"/>
        <v>0</v>
      </c>
      <c r="AW54" s="204">
        <f t="shared" si="21"/>
        <v>0</v>
      </c>
      <c r="AX54" s="204">
        <f t="shared" si="22"/>
        <v>0</v>
      </c>
      <c r="AY54" s="216">
        <v>1</v>
      </c>
      <c r="AZ54" s="214" t="s">
        <v>473</v>
      </c>
      <c r="BA54" s="210">
        <v>30821034</v>
      </c>
      <c r="BB54" s="196"/>
      <c r="BC54" s="196"/>
      <c r="BD54" s="216">
        <f t="shared" si="23"/>
        <v>0</v>
      </c>
      <c r="BE54" s="216">
        <f t="shared" si="24"/>
        <v>0</v>
      </c>
      <c r="BF54" s="216">
        <f t="shared" si="25"/>
        <v>0</v>
      </c>
      <c r="BG54" s="216">
        <f t="shared" si="26"/>
        <v>0</v>
      </c>
      <c r="BH54" s="228">
        <f t="shared" si="7"/>
        <v>0</v>
      </c>
      <c r="BI54" s="228">
        <f t="shared" si="8"/>
        <v>0</v>
      </c>
      <c r="BJ54" s="228">
        <f t="shared" si="9"/>
        <v>0</v>
      </c>
      <c r="BK54" s="228">
        <f t="shared" si="10"/>
        <v>0</v>
      </c>
      <c r="BL54" s="228">
        <f t="shared" si="27"/>
        <v>0</v>
      </c>
      <c r="BM54" s="228">
        <f t="shared" si="28"/>
        <v>0</v>
      </c>
      <c r="BN54" s="228">
        <f t="shared" si="11"/>
        <v>0</v>
      </c>
      <c r="BO54" s="228">
        <f t="shared" si="12"/>
        <v>0</v>
      </c>
      <c r="BP54" s="206"/>
      <c r="BQ54" s="277">
        <v>1</v>
      </c>
      <c r="BR54" s="208">
        <f t="shared" si="14"/>
        <v>2.3333333333333335</v>
      </c>
      <c r="BS54" s="219" t="str">
        <f t="shared" si="29"/>
        <v>Elaboración de solicitudes de aclaración sobre apropiaciones sin justa causa</v>
      </c>
      <c r="BT54" s="195">
        <f t="shared" si="13"/>
        <v>106161339.33333333</v>
      </c>
      <c r="BU54" s="196"/>
      <c r="BV54" s="196"/>
      <c r="BW54" s="196"/>
      <c r="BX54" s="196"/>
      <c r="BY54" s="196"/>
      <c r="BZ54" s="19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71.25" x14ac:dyDescent="0.25">
      <c r="A55" s="197">
        <v>11400</v>
      </c>
      <c r="B55" s="194" t="s">
        <v>26</v>
      </c>
      <c r="C55" s="198" t="s">
        <v>188</v>
      </c>
      <c r="D55" s="194" t="s">
        <v>144</v>
      </c>
      <c r="E55" s="198" t="s">
        <v>489</v>
      </c>
      <c r="F55" s="194" t="s">
        <v>198</v>
      </c>
      <c r="G55" s="209" t="s">
        <v>123</v>
      </c>
      <c r="H55" s="216">
        <v>1</v>
      </c>
      <c r="I55" s="198" t="s">
        <v>490</v>
      </c>
      <c r="J55" s="194" t="s">
        <v>199</v>
      </c>
      <c r="K55" s="210">
        <v>0</v>
      </c>
      <c r="L55" s="211">
        <v>1</v>
      </c>
      <c r="M55" s="194" t="s">
        <v>46</v>
      </c>
      <c r="N55" s="194" t="s">
        <v>68</v>
      </c>
      <c r="O55" s="194" t="s">
        <v>21</v>
      </c>
      <c r="P55" s="194" t="s">
        <v>36</v>
      </c>
      <c r="Q55" s="194" t="s">
        <v>223</v>
      </c>
      <c r="R55" s="194" t="s">
        <v>475</v>
      </c>
      <c r="S55" s="194" t="s">
        <v>99</v>
      </c>
      <c r="T55" s="211">
        <v>1</v>
      </c>
      <c r="U55" s="212" t="str">
        <f t="shared" si="15"/>
        <v>Elaboración de Informes de auditoría de reintegro de recursos</v>
      </c>
      <c r="V55" s="213">
        <f t="shared" si="15"/>
        <v>0</v>
      </c>
      <c r="W55" s="214" t="s">
        <v>117</v>
      </c>
      <c r="X55" s="281">
        <v>1</v>
      </c>
      <c r="Y55" s="282" t="s">
        <v>199</v>
      </c>
      <c r="Z55" s="283">
        <v>0</v>
      </c>
      <c r="AA55" s="279"/>
      <c r="AB55" s="279"/>
      <c r="AC55" s="280">
        <f t="shared" si="16"/>
        <v>0</v>
      </c>
      <c r="AD55" s="280" t="e">
        <f t="shared" si="17"/>
        <v>#DIV/0!</v>
      </c>
      <c r="AE55" s="280">
        <f t="shared" si="0"/>
        <v>0</v>
      </c>
      <c r="AF55" s="280" t="e">
        <f t="shared" si="1"/>
        <v>#DIV/0!</v>
      </c>
      <c r="AG55" s="281">
        <v>1</v>
      </c>
      <c r="AH55" s="282" t="s">
        <v>199</v>
      </c>
      <c r="AI55" s="283">
        <v>0</v>
      </c>
      <c r="AJ55" s="279"/>
      <c r="AK55" s="279"/>
      <c r="AL55" s="280">
        <f t="shared" si="18"/>
        <v>0</v>
      </c>
      <c r="AM55" s="280" t="e">
        <f t="shared" si="2"/>
        <v>#DIV/0!</v>
      </c>
      <c r="AN55" s="280">
        <f t="shared" si="3"/>
        <v>0</v>
      </c>
      <c r="AO55" s="280" t="e">
        <f t="shared" si="4"/>
        <v>#DIV/0!</v>
      </c>
      <c r="AP55" s="281">
        <v>1</v>
      </c>
      <c r="AQ55" s="282" t="s">
        <v>199</v>
      </c>
      <c r="AR55" s="283">
        <v>0</v>
      </c>
      <c r="AS55" s="279"/>
      <c r="AT55" s="279"/>
      <c r="AU55" s="280">
        <f t="shared" si="19"/>
        <v>0</v>
      </c>
      <c r="AV55" s="280" t="e">
        <f t="shared" si="20"/>
        <v>#DIV/0!</v>
      </c>
      <c r="AW55" s="280">
        <f t="shared" si="21"/>
        <v>0</v>
      </c>
      <c r="AX55" s="280" t="e">
        <f t="shared" si="22"/>
        <v>#DIV/0!</v>
      </c>
      <c r="AY55" s="281">
        <v>1</v>
      </c>
      <c r="AZ55" s="282" t="s">
        <v>199</v>
      </c>
      <c r="BA55" s="283">
        <v>0</v>
      </c>
      <c r="BB55" s="279"/>
      <c r="BC55" s="279"/>
      <c r="BD55" s="281">
        <f t="shared" si="23"/>
        <v>0</v>
      </c>
      <c r="BE55" s="281" t="e">
        <f t="shared" si="24"/>
        <v>#DIV/0!</v>
      </c>
      <c r="BF55" s="281">
        <f t="shared" si="25"/>
        <v>0</v>
      </c>
      <c r="BG55" s="281" t="e">
        <f t="shared" si="26"/>
        <v>#DIV/0!</v>
      </c>
      <c r="BH55" s="205">
        <f t="shared" si="7"/>
        <v>0</v>
      </c>
      <c r="BI55" s="205" t="str">
        <f t="shared" si="8"/>
        <v>No Prog ni Ejec</v>
      </c>
      <c r="BJ55" s="205">
        <f t="shared" si="9"/>
        <v>0</v>
      </c>
      <c r="BK55" s="205" t="str">
        <f t="shared" si="10"/>
        <v>No Prog ni Ejec</v>
      </c>
      <c r="BL55" s="205">
        <f t="shared" si="27"/>
        <v>0</v>
      </c>
      <c r="BM55" s="205" t="str">
        <f t="shared" si="28"/>
        <v>No Prog ni Ejec</v>
      </c>
      <c r="BN55" s="205">
        <f t="shared" si="11"/>
        <v>0</v>
      </c>
      <c r="BO55" s="205" t="str">
        <f t="shared" si="12"/>
        <v>No Prog ni Ejec</v>
      </c>
      <c r="BP55" s="206"/>
      <c r="BQ55" s="277">
        <v>1</v>
      </c>
      <c r="BR55" s="208">
        <f t="shared" si="14"/>
        <v>2.3333333333333335</v>
      </c>
      <c r="BS55" s="219" t="str">
        <f t="shared" si="29"/>
        <v>Elaboración de Informes de auditoría de reintegro de recursos</v>
      </c>
      <c r="BT55" s="195">
        <f t="shared" si="13"/>
        <v>0</v>
      </c>
      <c r="BU55" s="196"/>
      <c r="BV55" s="196"/>
      <c r="BW55" s="196"/>
      <c r="BX55" s="196"/>
      <c r="BY55" s="196"/>
      <c r="BZ55" s="19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25">
      <c r="A56" s="197">
        <v>11400</v>
      </c>
      <c r="B56" s="194" t="s">
        <v>26</v>
      </c>
      <c r="C56" s="198" t="s">
        <v>188</v>
      </c>
      <c r="D56" s="194" t="s">
        <v>144</v>
      </c>
      <c r="E56" s="198" t="s">
        <v>491</v>
      </c>
      <c r="F56" s="194" t="s">
        <v>478</v>
      </c>
      <c r="G56" s="209" t="s">
        <v>123</v>
      </c>
      <c r="H56" s="216">
        <v>1</v>
      </c>
      <c r="I56" s="198" t="s">
        <v>492</v>
      </c>
      <c r="J56" s="194" t="s">
        <v>477</v>
      </c>
      <c r="K56" s="210">
        <v>0</v>
      </c>
      <c r="L56" s="211">
        <v>1</v>
      </c>
      <c r="M56" s="194" t="s">
        <v>46</v>
      </c>
      <c r="N56" s="194" t="s">
        <v>68</v>
      </c>
      <c r="O56" s="194" t="s">
        <v>21</v>
      </c>
      <c r="P56" s="194" t="s">
        <v>36</v>
      </c>
      <c r="Q56" s="194" t="s">
        <v>223</v>
      </c>
      <c r="R56" s="194" t="s">
        <v>507</v>
      </c>
      <c r="S56" s="194" t="s">
        <v>99</v>
      </c>
      <c r="T56" s="211">
        <v>1</v>
      </c>
      <c r="U56" s="212" t="str">
        <f t="shared" si="15"/>
        <v>Elaboración de comunicaciones con las conclusiones del procedimiento de la auditoría de reintegro de recursos</v>
      </c>
      <c r="V56" s="213">
        <f t="shared" si="15"/>
        <v>0</v>
      </c>
      <c r="W56" s="214" t="s">
        <v>117</v>
      </c>
      <c r="X56" s="216">
        <v>1</v>
      </c>
      <c r="Y56" s="214" t="s">
        <v>477</v>
      </c>
      <c r="Z56" s="210">
        <v>0</v>
      </c>
      <c r="AA56" s="196"/>
      <c r="AB56" s="196"/>
      <c r="AC56" s="204">
        <f t="shared" si="16"/>
        <v>0</v>
      </c>
      <c r="AD56" s="204" t="e">
        <f t="shared" si="17"/>
        <v>#DIV/0!</v>
      </c>
      <c r="AE56" s="204">
        <f t="shared" si="0"/>
        <v>0</v>
      </c>
      <c r="AF56" s="204" t="e">
        <f t="shared" si="1"/>
        <v>#DIV/0!</v>
      </c>
      <c r="AG56" s="216">
        <v>1</v>
      </c>
      <c r="AH56" s="214" t="s">
        <v>477</v>
      </c>
      <c r="AI56" s="210">
        <v>0</v>
      </c>
      <c r="AJ56" s="196"/>
      <c r="AK56" s="196"/>
      <c r="AL56" s="204">
        <f t="shared" si="18"/>
        <v>0</v>
      </c>
      <c r="AM56" s="204" t="e">
        <f t="shared" si="2"/>
        <v>#DIV/0!</v>
      </c>
      <c r="AN56" s="204">
        <f t="shared" si="3"/>
        <v>0</v>
      </c>
      <c r="AO56" s="204" t="e">
        <f t="shared" si="4"/>
        <v>#DIV/0!</v>
      </c>
      <c r="AP56" s="216">
        <v>1</v>
      </c>
      <c r="AQ56" s="214" t="s">
        <v>477</v>
      </c>
      <c r="AR56" s="210">
        <v>0</v>
      </c>
      <c r="AS56" s="196"/>
      <c r="AT56" s="196"/>
      <c r="AU56" s="204">
        <f t="shared" si="19"/>
        <v>0</v>
      </c>
      <c r="AV56" s="204" t="e">
        <f t="shared" si="20"/>
        <v>#DIV/0!</v>
      </c>
      <c r="AW56" s="204">
        <f t="shared" si="21"/>
        <v>0</v>
      </c>
      <c r="AX56" s="204" t="e">
        <f t="shared" si="22"/>
        <v>#DIV/0!</v>
      </c>
      <c r="AY56" s="216">
        <v>1</v>
      </c>
      <c r="AZ56" s="214" t="s">
        <v>477</v>
      </c>
      <c r="BA56" s="210">
        <v>0</v>
      </c>
      <c r="BB56" s="196"/>
      <c r="BC56" s="196"/>
      <c r="BD56" s="216">
        <f t="shared" si="23"/>
        <v>0</v>
      </c>
      <c r="BE56" s="216" t="e">
        <f t="shared" si="24"/>
        <v>#DIV/0!</v>
      </c>
      <c r="BF56" s="216">
        <f t="shared" si="25"/>
        <v>0</v>
      </c>
      <c r="BG56" s="216" t="e">
        <f t="shared" si="26"/>
        <v>#DIV/0!</v>
      </c>
      <c r="BH56" s="207">
        <f t="shared" si="7"/>
        <v>0</v>
      </c>
      <c r="BI56" s="207" t="str">
        <f t="shared" si="8"/>
        <v>No Prog ni Ejec</v>
      </c>
      <c r="BJ56" s="207">
        <f t="shared" si="9"/>
        <v>0</v>
      </c>
      <c r="BK56" s="207" t="str">
        <f t="shared" si="10"/>
        <v>No Prog ni Ejec</v>
      </c>
      <c r="BL56" s="207">
        <f t="shared" si="27"/>
        <v>0</v>
      </c>
      <c r="BM56" s="207" t="str">
        <f t="shared" si="28"/>
        <v>No Prog ni Ejec</v>
      </c>
      <c r="BN56" s="207">
        <f t="shared" si="11"/>
        <v>0</v>
      </c>
      <c r="BO56" s="207" t="str">
        <f t="shared" si="12"/>
        <v>No Prog ni Ejec</v>
      </c>
      <c r="BP56" s="206"/>
      <c r="BQ56" s="277">
        <v>1</v>
      </c>
      <c r="BR56" s="208">
        <f t="shared" si="14"/>
        <v>2.3333333333333335</v>
      </c>
      <c r="BS56" s="219" t="str">
        <f t="shared" si="29"/>
        <v>Elaboración de comunicaciones con las conclusiones del procedimiento de la auditoría de reintegro de recursos</v>
      </c>
      <c r="BT56" s="195">
        <f t="shared" si="13"/>
        <v>0</v>
      </c>
      <c r="BU56" s="196"/>
      <c r="BV56" s="196"/>
      <c r="BW56" s="196"/>
      <c r="BX56" s="196"/>
      <c r="BY56" s="196"/>
      <c r="BZ56" s="19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71.25" x14ac:dyDescent="0.25">
      <c r="A57" s="197">
        <v>11400</v>
      </c>
      <c r="B57" s="194" t="s">
        <v>26</v>
      </c>
      <c r="C57" s="198" t="s">
        <v>188</v>
      </c>
      <c r="D57" s="194" t="s">
        <v>144</v>
      </c>
      <c r="E57" s="198" t="s">
        <v>493</v>
      </c>
      <c r="F57" s="194" t="s">
        <v>200</v>
      </c>
      <c r="G57" s="209" t="s">
        <v>123</v>
      </c>
      <c r="H57" s="216">
        <v>1</v>
      </c>
      <c r="I57" s="198" t="s">
        <v>494</v>
      </c>
      <c r="J57" s="194" t="s">
        <v>201</v>
      </c>
      <c r="K57" s="210">
        <v>0</v>
      </c>
      <c r="L57" s="211">
        <v>1</v>
      </c>
      <c r="M57" s="194" t="s">
        <v>46</v>
      </c>
      <c r="N57" s="194" t="s">
        <v>68</v>
      </c>
      <c r="O57" s="194" t="s">
        <v>21</v>
      </c>
      <c r="P57" s="194" t="s">
        <v>36</v>
      </c>
      <c r="Q57" s="194" t="s">
        <v>223</v>
      </c>
      <c r="R57" s="194" t="s">
        <v>238</v>
      </c>
      <c r="S57" s="194" t="s">
        <v>99</v>
      </c>
      <c r="T57" s="211">
        <v>1</v>
      </c>
      <c r="U57" s="212" t="str">
        <f t="shared" si="15"/>
        <v>Solicitud de aclaraciones a las EPS con saldos a favor de ADRES en el proceso LMA</v>
      </c>
      <c r="V57" s="213">
        <f t="shared" si="15"/>
        <v>0</v>
      </c>
      <c r="W57" s="214" t="s">
        <v>117</v>
      </c>
      <c r="X57" s="216">
        <v>1</v>
      </c>
      <c r="Y57" s="214" t="s">
        <v>201</v>
      </c>
      <c r="Z57" s="210">
        <v>0</v>
      </c>
      <c r="AA57" s="196"/>
      <c r="AB57" s="196"/>
      <c r="AC57" s="204">
        <f t="shared" si="16"/>
        <v>0</v>
      </c>
      <c r="AD57" s="204" t="e">
        <f t="shared" si="17"/>
        <v>#DIV/0!</v>
      </c>
      <c r="AE57" s="204">
        <f t="shared" si="0"/>
        <v>0</v>
      </c>
      <c r="AF57" s="204" t="e">
        <f t="shared" si="1"/>
        <v>#DIV/0!</v>
      </c>
      <c r="AG57" s="216">
        <v>1</v>
      </c>
      <c r="AH57" s="214" t="s">
        <v>201</v>
      </c>
      <c r="AI57" s="210">
        <v>0</v>
      </c>
      <c r="AJ57" s="196"/>
      <c r="AK57" s="196"/>
      <c r="AL57" s="204">
        <f t="shared" si="18"/>
        <v>0</v>
      </c>
      <c r="AM57" s="204" t="e">
        <f t="shared" si="2"/>
        <v>#DIV/0!</v>
      </c>
      <c r="AN57" s="204">
        <f t="shared" si="3"/>
        <v>0</v>
      </c>
      <c r="AO57" s="204" t="e">
        <f t="shared" si="4"/>
        <v>#DIV/0!</v>
      </c>
      <c r="AP57" s="216">
        <v>1</v>
      </c>
      <c r="AQ57" s="214" t="s">
        <v>201</v>
      </c>
      <c r="AR57" s="210">
        <v>0</v>
      </c>
      <c r="AS57" s="196"/>
      <c r="AT57" s="196"/>
      <c r="AU57" s="204">
        <f t="shared" si="19"/>
        <v>0</v>
      </c>
      <c r="AV57" s="204" t="e">
        <f t="shared" si="20"/>
        <v>#DIV/0!</v>
      </c>
      <c r="AW57" s="204">
        <f t="shared" si="21"/>
        <v>0</v>
      </c>
      <c r="AX57" s="204" t="e">
        <f t="shared" si="22"/>
        <v>#DIV/0!</v>
      </c>
      <c r="AY57" s="216">
        <v>1</v>
      </c>
      <c r="AZ57" s="214" t="s">
        <v>201</v>
      </c>
      <c r="BA57" s="210">
        <v>0</v>
      </c>
      <c r="BB57" s="196"/>
      <c r="BC57" s="196"/>
      <c r="BD57" s="216">
        <f t="shared" si="23"/>
        <v>0</v>
      </c>
      <c r="BE57" s="216" t="e">
        <f t="shared" si="24"/>
        <v>#DIV/0!</v>
      </c>
      <c r="BF57" s="216">
        <f t="shared" si="25"/>
        <v>0</v>
      </c>
      <c r="BG57" s="216" t="e">
        <f t="shared" si="26"/>
        <v>#DIV/0!</v>
      </c>
      <c r="BH57" s="207">
        <f t="shared" si="7"/>
        <v>0</v>
      </c>
      <c r="BI57" s="207" t="str">
        <f t="shared" si="8"/>
        <v>No Prog ni Ejec</v>
      </c>
      <c r="BJ57" s="207">
        <f t="shared" si="9"/>
        <v>0</v>
      </c>
      <c r="BK57" s="207" t="str">
        <f t="shared" si="10"/>
        <v>No Prog ni Ejec</v>
      </c>
      <c r="BL57" s="207">
        <f t="shared" si="27"/>
        <v>0</v>
      </c>
      <c r="BM57" s="207" t="str">
        <f t="shared" si="28"/>
        <v>No Prog ni Ejec</v>
      </c>
      <c r="BN57" s="207">
        <f t="shared" si="11"/>
        <v>0</v>
      </c>
      <c r="BO57" s="207" t="str">
        <f t="shared" si="12"/>
        <v>No Prog ni Ejec</v>
      </c>
      <c r="BP57" s="206"/>
      <c r="BQ57" s="277">
        <v>1</v>
      </c>
      <c r="BR57" s="208">
        <f t="shared" si="14"/>
        <v>2.3333333333333335</v>
      </c>
      <c r="BS57" s="219" t="str">
        <f t="shared" si="29"/>
        <v>Solicitud de aclaraciones a las EPS con saldos a favor de ADRES en el proceso LMA</v>
      </c>
      <c r="BT57" s="195">
        <f t="shared" si="13"/>
        <v>0</v>
      </c>
      <c r="BU57" s="196"/>
      <c r="BV57" s="196"/>
      <c r="BW57" s="196"/>
      <c r="BX57" s="196"/>
      <c r="BY57" s="196"/>
      <c r="BZ57" s="19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71.25" x14ac:dyDescent="0.25">
      <c r="A58" s="197">
        <v>11400</v>
      </c>
      <c r="B58" s="194" t="s">
        <v>26</v>
      </c>
      <c r="C58" s="198" t="s">
        <v>188</v>
      </c>
      <c r="D58" s="194" t="s">
        <v>144</v>
      </c>
      <c r="E58" s="198" t="s">
        <v>495</v>
      </c>
      <c r="F58" s="194" t="s">
        <v>202</v>
      </c>
      <c r="G58" s="209" t="s">
        <v>124</v>
      </c>
      <c r="H58" s="198">
        <v>1</v>
      </c>
      <c r="I58" s="198" t="s">
        <v>496</v>
      </c>
      <c r="J58" s="194" t="s">
        <v>203</v>
      </c>
      <c r="K58" s="210">
        <v>0</v>
      </c>
      <c r="L58" s="211">
        <v>1</v>
      </c>
      <c r="M58" s="194" t="s">
        <v>46</v>
      </c>
      <c r="N58" s="194" t="s">
        <v>68</v>
      </c>
      <c r="O58" s="194" t="s">
        <v>34</v>
      </c>
      <c r="P58" s="194" t="s">
        <v>35</v>
      </c>
      <c r="Q58" s="194" t="s">
        <v>225</v>
      </c>
      <c r="R58" s="194" t="s">
        <v>508</v>
      </c>
      <c r="S58" s="194" t="s">
        <v>99</v>
      </c>
      <c r="T58" s="215">
        <v>1</v>
      </c>
      <c r="U58" s="212" t="str">
        <f t="shared" si="15"/>
        <v>No. De Compras de Carteras realizadas</v>
      </c>
      <c r="V58" s="213">
        <f t="shared" si="15"/>
        <v>0</v>
      </c>
      <c r="W58" s="214" t="s">
        <v>117</v>
      </c>
      <c r="X58" s="284">
        <v>0</v>
      </c>
      <c r="Y58" s="282" t="s">
        <v>203</v>
      </c>
      <c r="Z58" s="283">
        <v>0</v>
      </c>
      <c r="AA58" s="279"/>
      <c r="AB58" s="279"/>
      <c r="AC58" s="280" t="e">
        <f t="shared" si="16"/>
        <v>#DIV/0!</v>
      </c>
      <c r="AD58" s="280" t="e">
        <f t="shared" si="17"/>
        <v>#DIV/0!</v>
      </c>
      <c r="AE58" s="280">
        <f t="shared" si="0"/>
        <v>0</v>
      </c>
      <c r="AF58" s="280" t="e">
        <f t="shared" si="1"/>
        <v>#DIV/0!</v>
      </c>
      <c r="AG58" s="284">
        <v>0</v>
      </c>
      <c r="AH58" s="282" t="s">
        <v>203</v>
      </c>
      <c r="AI58" s="283">
        <v>0</v>
      </c>
      <c r="AJ58" s="279"/>
      <c r="AK58" s="279"/>
      <c r="AL58" s="280" t="e">
        <f t="shared" si="18"/>
        <v>#DIV/0!</v>
      </c>
      <c r="AM58" s="280" t="e">
        <f t="shared" si="2"/>
        <v>#DIV/0!</v>
      </c>
      <c r="AN58" s="280">
        <f t="shared" si="3"/>
        <v>0</v>
      </c>
      <c r="AO58" s="280" t="e">
        <f t="shared" si="4"/>
        <v>#DIV/0!</v>
      </c>
      <c r="AP58" s="284">
        <v>0</v>
      </c>
      <c r="AQ58" s="282" t="s">
        <v>203</v>
      </c>
      <c r="AR58" s="283">
        <v>0</v>
      </c>
      <c r="AS58" s="279"/>
      <c r="AT58" s="279"/>
      <c r="AU58" s="280" t="e">
        <f t="shared" si="19"/>
        <v>#DIV/0!</v>
      </c>
      <c r="AV58" s="280" t="e">
        <f t="shared" si="20"/>
        <v>#DIV/0!</v>
      </c>
      <c r="AW58" s="280">
        <f t="shared" si="21"/>
        <v>0</v>
      </c>
      <c r="AX58" s="280" t="e">
        <f t="shared" si="22"/>
        <v>#DIV/0!</v>
      </c>
      <c r="AY58" s="284">
        <v>1</v>
      </c>
      <c r="AZ58" s="282" t="s">
        <v>203</v>
      </c>
      <c r="BA58" s="283">
        <v>0</v>
      </c>
      <c r="BB58" s="279"/>
      <c r="BC58" s="279"/>
      <c r="BD58" s="281">
        <f t="shared" si="23"/>
        <v>0</v>
      </c>
      <c r="BE58" s="281" t="e">
        <f t="shared" si="24"/>
        <v>#DIV/0!</v>
      </c>
      <c r="BF58" s="281">
        <f t="shared" si="25"/>
        <v>0</v>
      </c>
      <c r="BG58" s="281" t="e">
        <f t="shared" si="26"/>
        <v>#DIV/0!</v>
      </c>
      <c r="BH58" s="205" t="str">
        <f t="shared" si="7"/>
        <v>No Prog ni Ejec</v>
      </c>
      <c r="BI58" s="205" t="str">
        <f t="shared" si="8"/>
        <v>No Prog ni Ejec</v>
      </c>
      <c r="BJ58" s="205" t="str">
        <f t="shared" si="9"/>
        <v>No Prog ni Ejec</v>
      </c>
      <c r="BK58" s="205" t="str">
        <f t="shared" si="10"/>
        <v>No Prog ni Ejec</v>
      </c>
      <c r="BL58" s="205" t="str">
        <f t="shared" si="27"/>
        <v>No Prog ni Ejec</v>
      </c>
      <c r="BM58" s="205" t="str">
        <f t="shared" si="28"/>
        <v>No Prog ni Ejec</v>
      </c>
      <c r="BN58" s="205">
        <f t="shared" si="11"/>
        <v>0</v>
      </c>
      <c r="BO58" s="205" t="str">
        <f t="shared" si="12"/>
        <v>No Prog ni Ejec</v>
      </c>
      <c r="BP58" s="206"/>
      <c r="BQ58" s="277">
        <v>8</v>
      </c>
      <c r="BR58" s="218">
        <f t="shared" si="14"/>
        <v>0</v>
      </c>
      <c r="BS58" s="219" t="str">
        <f t="shared" si="29"/>
        <v>No. De Compras de Carteras realizadas</v>
      </c>
      <c r="BT58" s="195">
        <f t="shared" si="13"/>
        <v>0</v>
      </c>
      <c r="BU58" s="196"/>
      <c r="BV58" s="196"/>
      <c r="BW58" s="196"/>
      <c r="BX58" s="196"/>
      <c r="BY58" s="196"/>
      <c r="BZ58" s="19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71.25" x14ac:dyDescent="0.25">
      <c r="A59" s="197">
        <v>11400</v>
      </c>
      <c r="B59" s="194" t="s">
        <v>26</v>
      </c>
      <c r="C59" s="198" t="s">
        <v>188</v>
      </c>
      <c r="D59" s="194" t="s">
        <v>144</v>
      </c>
      <c r="E59" s="198" t="s">
        <v>497</v>
      </c>
      <c r="F59" s="194" t="s">
        <v>204</v>
      </c>
      <c r="G59" s="209" t="s">
        <v>123</v>
      </c>
      <c r="H59" s="216">
        <v>1</v>
      </c>
      <c r="I59" s="198" t="s">
        <v>498</v>
      </c>
      <c r="J59" s="194" t="s">
        <v>205</v>
      </c>
      <c r="K59" s="210">
        <v>0</v>
      </c>
      <c r="L59" s="211">
        <v>1</v>
      </c>
      <c r="M59" s="194" t="s">
        <v>46</v>
      </c>
      <c r="N59" s="194" t="s">
        <v>68</v>
      </c>
      <c r="O59" s="194" t="s">
        <v>34</v>
      </c>
      <c r="P59" s="194" t="s">
        <v>35</v>
      </c>
      <c r="Q59" s="194" t="s">
        <v>225</v>
      </c>
      <c r="R59" s="194" t="s">
        <v>509</v>
      </c>
      <c r="S59" s="194" t="s">
        <v>99</v>
      </c>
      <c r="T59" s="211">
        <v>1</v>
      </c>
      <c r="U59" s="212" t="str">
        <f t="shared" si="15"/>
        <v>Certificaciones remitidas</v>
      </c>
      <c r="V59" s="213">
        <f t="shared" si="15"/>
        <v>0</v>
      </c>
      <c r="W59" s="214" t="s">
        <v>117</v>
      </c>
      <c r="X59" s="216">
        <v>1</v>
      </c>
      <c r="Y59" s="214" t="s">
        <v>205</v>
      </c>
      <c r="Z59" s="210">
        <v>0</v>
      </c>
      <c r="AA59" s="196"/>
      <c r="AB59" s="196"/>
      <c r="AC59" s="204">
        <f t="shared" si="16"/>
        <v>0</v>
      </c>
      <c r="AD59" s="204" t="e">
        <f t="shared" si="17"/>
        <v>#DIV/0!</v>
      </c>
      <c r="AE59" s="204">
        <f t="shared" si="0"/>
        <v>0</v>
      </c>
      <c r="AF59" s="204" t="e">
        <f t="shared" si="1"/>
        <v>#DIV/0!</v>
      </c>
      <c r="AG59" s="216">
        <v>1</v>
      </c>
      <c r="AH59" s="214" t="s">
        <v>205</v>
      </c>
      <c r="AI59" s="210">
        <v>0</v>
      </c>
      <c r="AJ59" s="196"/>
      <c r="AK59" s="196"/>
      <c r="AL59" s="204">
        <f t="shared" si="18"/>
        <v>0</v>
      </c>
      <c r="AM59" s="204" t="e">
        <f t="shared" si="2"/>
        <v>#DIV/0!</v>
      </c>
      <c r="AN59" s="204">
        <f t="shared" si="3"/>
        <v>0</v>
      </c>
      <c r="AO59" s="204" t="e">
        <f t="shared" si="4"/>
        <v>#DIV/0!</v>
      </c>
      <c r="AP59" s="216">
        <v>1</v>
      </c>
      <c r="AQ59" s="214" t="s">
        <v>205</v>
      </c>
      <c r="AR59" s="210">
        <v>0</v>
      </c>
      <c r="AS59" s="196"/>
      <c r="AT59" s="196"/>
      <c r="AU59" s="204">
        <f t="shared" si="19"/>
        <v>0</v>
      </c>
      <c r="AV59" s="204" t="e">
        <f t="shared" si="20"/>
        <v>#DIV/0!</v>
      </c>
      <c r="AW59" s="204">
        <f t="shared" si="21"/>
        <v>0</v>
      </c>
      <c r="AX59" s="204" t="e">
        <f t="shared" si="22"/>
        <v>#DIV/0!</v>
      </c>
      <c r="AY59" s="216">
        <v>1</v>
      </c>
      <c r="AZ59" s="214" t="s">
        <v>205</v>
      </c>
      <c r="BA59" s="210">
        <v>0</v>
      </c>
      <c r="BB59" s="196"/>
      <c r="BC59" s="196"/>
      <c r="BD59" s="216">
        <f t="shared" si="23"/>
        <v>0</v>
      </c>
      <c r="BE59" s="216" t="e">
        <f t="shared" si="24"/>
        <v>#DIV/0!</v>
      </c>
      <c r="BF59" s="216">
        <f t="shared" si="25"/>
        <v>0</v>
      </c>
      <c r="BG59" s="216" t="e">
        <f t="shared" si="26"/>
        <v>#DIV/0!</v>
      </c>
      <c r="BH59" s="207">
        <f t="shared" si="7"/>
        <v>0</v>
      </c>
      <c r="BI59" s="207" t="str">
        <f t="shared" si="8"/>
        <v>No Prog ni Ejec</v>
      </c>
      <c r="BJ59" s="207">
        <f t="shared" si="9"/>
        <v>0</v>
      </c>
      <c r="BK59" s="207" t="str">
        <f t="shared" si="10"/>
        <v>No Prog ni Ejec</v>
      </c>
      <c r="BL59" s="207">
        <f t="shared" si="27"/>
        <v>0</v>
      </c>
      <c r="BM59" s="207" t="str">
        <f t="shared" si="28"/>
        <v>No Prog ni Ejec</v>
      </c>
      <c r="BN59" s="207">
        <f t="shared" si="11"/>
        <v>0</v>
      </c>
      <c r="BO59" s="207" t="str">
        <f t="shared" si="12"/>
        <v>No Prog ni Ejec</v>
      </c>
      <c r="BP59" s="206"/>
      <c r="BQ59" s="277">
        <v>1</v>
      </c>
      <c r="BR59" s="208">
        <f t="shared" si="14"/>
        <v>2.3333333333333335</v>
      </c>
      <c r="BS59" s="219" t="str">
        <f t="shared" si="29"/>
        <v>Certificaciones remitidas</v>
      </c>
      <c r="BT59" s="195">
        <f t="shared" si="13"/>
        <v>0</v>
      </c>
      <c r="BU59" s="196"/>
      <c r="BV59" s="196"/>
      <c r="BW59" s="196"/>
      <c r="BX59" s="196"/>
      <c r="BY59" s="196"/>
      <c r="BZ59" s="19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71.25" x14ac:dyDescent="0.25">
      <c r="A60" s="197">
        <v>11400</v>
      </c>
      <c r="B60" s="194" t="s">
        <v>26</v>
      </c>
      <c r="C60" s="198" t="s">
        <v>239</v>
      </c>
      <c r="D60" s="194" t="s">
        <v>144</v>
      </c>
      <c r="E60" s="198" t="s">
        <v>499</v>
      </c>
      <c r="F60" s="194" t="s">
        <v>206</v>
      </c>
      <c r="G60" s="209" t="s">
        <v>123</v>
      </c>
      <c r="H60" s="216">
        <v>1</v>
      </c>
      <c r="I60" s="198" t="s">
        <v>500</v>
      </c>
      <c r="J60" s="194" t="s">
        <v>205</v>
      </c>
      <c r="K60" s="210">
        <v>0</v>
      </c>
      <c r="L60" s="211">
        <v>1</v>
      </c>
      <c r="M60" s="194" t="s">
        <v>46</v>
      </c>
      <c r="N60" s="194" t="s">
        <v>68</v>
      </c>
      <c r="O60" s="194" t="s">
        <v>34</v>
      </c>
      <c r="P60" s="194" t="s">
        <v>35</v>
      </c>
      <c r="Q60" s="194" t="s">
        <v>225</v>
      </c>
      <c r="R60" s="194" t="s">
        <v>509</v>
      </c>
      <c r="S60" s="194" t="s">
        <v>99</v>
      </c>
      <c r="T60" s="211">
        <v>1</v>
      </c>
      <c r="U60" s="212" t="str">
        <f t="shared" si="15"/>
        <v>Certificaciones remitidas</v>
      </c>
      <c r="V60" s="213">
        <f t="shared" si="15"/>
        <v>0</v>
      </c>
      <c r="W60" s="214" t="s">
        <v>117</v>
      </c>
      <c r="X60" s="216">
        <v>1</v>
      </c>
      <c r="Y60" s="214" t="s">
        <v>205</v>
      </c>
      <c r="Z60" s="210">
        <v>0</v>
      </c>
      <c r="AA60" s="196"/>
      <c r="AB60" s="196"/>
      <c r="AC60" s="204">
        <f t="shared" si="16"/>
        <v>0</v>
      </c>
      <c r="AD60" s="204" t="e">
        <f t="shared" si="17"/>
        <v>#DIV/0!</v>
      </c>
      <c r="AE60" s="204">
        <f t="shared" si="0"/>
        <v>0</v>
      </c>
      <c r="AF60" s="204" t="e">
        <f t="shared" si="1"/>
        <v>#DIV/0!</v>
      </c>
      <c r="AG60" s="216">
        <v>1</v>
      </c>
      <c r="AH60" s="214" t="s">
        <v>205</v>
      </c>
      <c r="AI60" s="210">
        <v>0</v>
      </c>
      <c r="AJ60" s="196"/>
      <c r="AK60" s="196"/>
      <c r="AL60" s="204">
        <f t="shared" si="18"/>
        <v>0</v>
      </c>
      <c r="AM60" s="204" t="e">
        <f t="shared" si="2"/>
        <v>#DIV/0!</v>
      </c>
      <c r="AN60" s="204">
        <f t="shared" si="3"/>
        <v>0</v>
      </c>
      <c r="AO60" s="204" t="e">
        <f t="shared" si="4"/>
        <v>#DIV/0!</v>
      </c>
      <c r="AP60" s="216">
        <v>1</v>
      </c>
      <c r="AQ60" s="214" t="s">
        <v>205</v>
      </c>
      <c r="AR60" s="210">
        <v>0</v>
      </c>
      <c r="AS60" s="196"/>
      <c r="AT60" s="196"/>
      <c r="AU60" s="204">
        <f t="shared" si="19"/>
        <v>0</v>
      </c>
      <c r="AV60" s="204" t="e">
        <f t="shared" si="20"/>
        <v>#DIV/0!</v>
      </c>
      <c r="AW60" s="204">
        <f t="shared" si="21"/>
        <v>0</v>
      </c>
      <c r="AX60" s="204" t="e">
        <f t="shared" si="22"/>
        <v>#DIV/0!</v>
      </c>
      <c r="AY60" s="216">
        <v>1</v>
      </c>
      <c r="AZ60" s="214" t="s">
        <v>205</v>
      </c>
      <c r="BA60" s="210">
        <v>0</v>
      </c>
      <c r="BB60" s="196"/>
      <c r="BC60" s="196"/>
      <c r="BD60" s="216">
        <f t="shared" si="23"/>
        <v>0</v>
      </c>
      <c r="BE60" s="216" t="e">
        <f t="shared" si="24"/>
        <v>#DIV/0!</v>
      </c>
      <c r="BF60" s="216">
        <f t="shared" si="25"/>
        <v>0</v>
      </c>
      <c r="BG60" s="216" t="e">
        <f t="shared" si="26"/>
        <v>#DIV/0!</v>
      </c>
      <c r="BH60" s="207">
        <f t="shared" si="7"/>
        <v>0</v>
      </c>
      <c r="BI60" s="207" t="str">
        <f t="shared" si="8"/>
        <v>No Prog ni Ejec</v>
      </c>
      <c r="BJ60" s="207">
        <f t="shared" si="9"/>
        <v>0</v>
      </c>
      <c r="BK60" s="207" t="str">
        <f t="shared" si="10"/>
        <v>No Prog ni Ejec</v>
      </c>
      <c r="BL60" s="207">
        <f t="shared" si="27"/>
        <v>0</v>
      </c>
      <c r="BM60" s="207" t="str">
        <f t="shared" si="28"/>
        <v>No Prog ni Ejec</v>
      </c>
      <c r="BN60" s="207">
        <f t="shared" si="11"/>
        <v>0</v>
      </c>
      <c r="BO60" s="207" t="str">
        <f t="shared" si="12"/>
        <v>No Prog ni Ejec</v>
      </c>
      <c r="BP60" s="206"/>
      <c r="BQ60" s="277">
        <v>1</v>
      </c>
      <c r="BR60" s="208">
        <f t="shared" si="14"/>
        <v>2.3333333333333335</v>
      </c>
      <c r="BS60" s="219" t="str">
        <f t="shared" si="29"/>
        <v>Certificaciones remitidas</v>
      </c>
      <c r="BT60" s="195">
        <f t="shared" si="13"/>
        <v>0</v>
      </c>
      <c r="BU60" s="196"/>
      <c r="BV60" s="196"/>
      <c r="BW60" s="196"/>
      <c r="BX60" s="196"/>
      <c r="BY60" s="196"/>
      <c r="BZ60" s="19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71.25" x14ac:dyDescent="0.25">
      <c r="A61" s="197">
        <v>11400</v>
      </c>
      <c r="B61" s="194" t="s">
        <v>26</v>
      </c>
      <c r="C61" s="198" t="s">
        <v>240</v>
      </c>
      <c r="D61" s="194" t="s">
        <v>144</v>
      </c>
      <c r="E61" s="198" t="s">
        <v>501</v>
      </c>
      <c r="F61" s="194" t="s">
        <v>207</v>
      </c>
      <c r="G61" s="209" t="s">
        <v>123</v>
      </c>
      <c r="H61" s="216">
        <v>1</v>
      </c>
      <c r="I61" s="198" t="s">
        <v>502</v>
      </c>
      <c r="J61" s="194" t="s">
        <v>205</v>
      </c>
      <c r="K61" s="210">
        <v>0</v>
      </c>
      <c r="L61" s="211">
        <v>1</v>
      </c>
      <c r="M61" s="194" t="s">
        <v>46</v>
      </c>
      <c r="N61" s="194" t="s">
        <v>68</v>
      </c>
      <c r="O61" s="194" t="s">
        <v>34</v>
      </c>
      <c r="P61" s="194" t="s">
        <v>35</v>
      </c>
      <c r="Q61" s="194" t="s">
        <v>225</v>
      </c>
      <c r="R61" s="194" t="s">
        <v>509</v>
      </c>
      <c r="S61" s="194" t="s">
        <v>99</v>
      </c>
      <c r="T61" s="211">
        <v>1</v>
      </c>
      <c r="U61" s="212" t="str">
        <f t="shared" si="15"/>
        <v>Certificaciones remitidas</v>
      </c>
      <c r="V61" s="213">
        <f t="shared" si="15"/>
        <v>0</v>
      </c>
      <c r="W61" s="214" t="s">
        <v>117</v>
      </c>
      <c r="X61" s="216">
        <v>1</v>
      </c>
      <c r="Y61" s="214" t="s">
        <v>205</v>
      </c>
      <c r="Z61" s="210">
        <v>0</v>
      </c>
      <c r="AA61" s="196"/>
      <c r="AB61" s="196"/>
      <c r="AC61" s="204">
        <f t="shared" si="16"/>
        <v>0</v>
      </c>
      <c r="AD61" s="204" t="e">
        <f t="shared" si="17"/>
        <v>#DIV/0!</v>
      </c>
      <c r="AE61" s="204">
        <f t="shared" si="0"/>
        <v>0</v>
      </c>
      <c r="AF61" s="204" t="e">
        <f t="shared" si="1"/>
        <v>#DIV/0!</v>
      </c>
      <c r="AG61" s="216">
        <v>1</v>
      </c>
      <c r="AH61" s="214" t="s">
        <v>205</v>
      </c>
      <c r="AI61" s="210">
        <v>0</v>
      </c>
      <c r="AJ61" s="196"/>
      <c r="AK61" s="196"/>
      <c r="AL61" s="204">
        <f t="shared" si="18"/>
        <v>0</v>
      </c>
      <c r="AM61" s="204" t="e">
        <f t="shared" si="2"/>
        <v>#DIV/0!</v>
      </c>
      <c r="AN61" s="204">
        <f t="shared" si="3"/>
        <v>0</v>
      </c>
      <c r="AO61" s="204" t="e">
        <f t="shared" si="4"/>
        <v>#DIV/0!</v>
      </c>
      <c r="AP61" s="216">
        <v>1</v>
      </c>
      <c r="AQ61" s="214" t="s">
        <v>205</v>
      </c>
      <c r="AR61" s="210">
        <v>0</v>
      </c>
      <c r="AS61" s="196"/>
      <c r="AT61" s="196"/>
      <c r="AU61" s="204">
        <f t="shared" si="19"/>
        <v>0</v>
      </c>
      <c r="AV61" s="204" t="e">
        <f t="shared" si="20"/>
        <v>#DIV/0!</v>
      </c>
      <c r="AW61" s="204">
        <f t="shared" si="21"/>
        <v>0</v>
      </c>
      <c r="AX61" s="204" t="e">
        <f t="shared" si="22"/>
        <v>#DIV/0!</v>
      </c>
      <c r="AY61" s="216">
        <v>1</v>
      </c>
      <c r="AZ61" s="214" t="s">
        <v>205</v>
      </c>
      <c r="BA61" s="210">
        <v>0</v>
      </c>
      <c r="BB61" s="196"/>
      <c r="BC61" s="196"/>
      <c r="BD61" s="216">
        <f t="shared" si="23"/>
        <v>0</v>
      </c>
      <c r="BE61" s="216" t="e">
        <f t="shared" si="24"/>
        <v>#DIV/0!</v>
      </c>
      <c r="BF61" s="216">
        <f t="shared" si="25"/>
        <v>0</v>
      </c>
      <c r="BG61" s="216" t="e">
        <f t="shared" si="26"/>
        <v>#DIV/0!</v>
      </c>
      <c r="BH61" s="207">
        <f t="shared" si="7"/>
        <v>0</v>
      </c>
      <c r="BI61" s="207" t="str">
        <f t="shared" si="8"/>
        <v>No Prog ni Ejec</v>
      </c>
      <c r="BJ61" s="207">
        <f t="shared" si="9"/>
        <v>0</v>
      </c>
      <c r="BK61" s="207" t="str">
        <f t="shared" si="10"/>
        <v>No Prog ni Ejec</v>
      </c>
      <c r="BL61" s="207">
        <f t="shared" si="27"/>
        <v>0</v>
      </c>
      <c r="BM61" s="207" t="str">
        <f t="shared" si="28"/>
        <v>No Prog ni Ejec</v>
      </c>
      <c r="BN61" s="207">
        <f t="shared" si="11"/>
        <v>0</v>
      </c>
      <c r="BO61" s="207" t="str">
        <f t="shared" si="12"/>
        <v>No Prog ni Ejec</v>
      </c>
      <c r="BP61" s="206"/>
      <c r="BQ61" s="277">
        <v>1</v>
      </c>
      <c r="BR61" s="208">
        <f t="shared" si="14"/>
        <v>2.3333333333333335</v>
      </c>
      <c r="BS61" s="219" t="str">
        <f t="shared" si="29"/>
        <v>Certificaciones remitidas</v>
      </c>
      <c r="BT61" s="195">
        <f t="shared" si="13"/>
        <v>0</v>
      </c>
      <c r="BU61" s="196"/>
      <c r="BV61" s="196"/>
      <c r="BW61" s="196"/>
      <c r="BX61" s="196"/>
      <c r="BY61" s="196"/>
      <c r="BZ61" s="19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71.25" x14ac:dyDescent="0.25">
      <c r="A62" s="197">
        <v>11400</v>
      </c>
      <c r="B62" s="194" t="s">
        <v>26</v>
      </c>
      <c r="C62" s="198" t="s">
        <v>241</v>
      </c>
      <c r="D62" s="194" t="s">
        <v>144</v>
      </c>
      <c r="E62" s="198" t="s">
        <v>503</v>
      </c>
      <c r="F62" s="194" t="s">
        <v>208</v>
      </c>
      <c r="G62" s="209" t="s">
        <v>123</v>
      </c>
      <c r="H62" s="216">
        <v>1</v>
      </c>
      <c r="I62" s="198" t="s">
        <v>504</v>
      </c>
      <c r="J62" s="194" t="s">
        <v>205</v>
      </c>
      <c r="K62" s="210">
        <v>0</v>
      </c>
      <c r="L62" s="211">
        <v>1</v>
      </c>
      <c r="M62" s="194" t="s">
        <v>46</v>
      </c>
      <c r="N62" s="194" t="s">
        <v>68</v>
      </c>
      <c r="O62" s="194" t="s">
        <v>34</v>
      </c>
      <c r="P62" s="194" t="s">
        <v>35</v>
      </c>
      <c r="Q62" s="194" t="s">
        <v>225</v>
      </c>
      <c r="R62" s="194" t="s">
        <v>509</v>
      </c>
      <c r="S62" s="194" t="s">
        <v>99</v>
      </c>
      <c r="T62" s="211">
        <v>1</v>
      </c>
      <c r="U62" s="212" t="str">
        <f t="shared" si="15"/>
        <v>Certificaciones remitidas</v>
      </c>
      <c r="V62" s="213">
        <f t="shared" si="15"/>
        <v>0</v>
      </c>
      <c r="W62" s="214" t="s">
        <v>117</v>
      </c>
      <c r="X62" s="216">
        <v>1</v>
      </c>
      <c r="Y62" s="214" t="s">
        <v>205</v>
      </c>
      <c r="Z62" s="210">
        <v>0</v>
      </c>
      <c r="AA62" s="196"/>
      <c r="AB62" s="196"/>
      <c r="AC62" s="204">
        <f t="shared" si="16"/>
        <v>0</v>
      </c>
      <c r="AD62" s="204" t="e">
        <f t="shared" si="17"/>
        <v>#DIV/0!</v>
      </c>
      <c r="AE62" s="204">
        <f t="shared" si="0"/>
        <v>0</v>
      </c>
      <c r="AF62" s="204" t="e">
        <f t="shared" si="1"/>
        <v>#DIV/0!</v>
      </c>
      <c r="AG62" s="216">
        <v>1</v>
      </c>
      <c r="AH62" s="214" t="s">
        <v>205</v>
      </c>
      <c r="AI62" s="210">
        <v>0</v>
      </c>
      <c r="AJ62" s="196"/>
      <c r="AK62" s="196"/>
      <c r="AL62" s="204">
        <f t="shared" si="18"/>
        <v>0</v>
      </c>
      <c r="AM62" s="204" t="e">
        <f t="shared" si="2"/>
        <v>#DIV/0!</v>
      </c>
      <c r="AN62" s="204">
        <f t="shared" si="3"/>
        <v>0</v>
      </c>
      <c r="AO62" s="204" t="e">
        <f t="shared" si="4"/>
        <v>#DIV/0!</v>
      </c>
      <c r="AP62" s="216">
        <v>1</v>
      </c>
      <c r="AQ62" s="214" t="s">
        <v>205</v>
      </c>
      <c r="AR62" s="210">
        <v>0</v>
      </c>
      <c r="AS62" s="196"/>
      <c r="AT62" s="196"/>
      <c r="AU62" s="204">
        <f t="shared" si="19"/>
        <v>0</v>
      </c>
      <c r="AV62" s="204" t="e">
        <f t="shared" si="20"/>
        <v>#DIV/0!</v>
      </c>
      <c r="AW62" s="204">
        <f t="shared" si="21"/>
        <v>0</v>
      </c>
      <c r="AX62" s="204" t="e">
        <f t="shared" si="22"/>
        <v>#DIV/0!</v>
      </c>
      <c r="AY62" s="216">
        <v>1</v>
      </c>
      <c r="AZ62" s="214" t="s">
        <v>205</v>
      </c>
      <c r="BA62" s="210">
        <v>0</v>
      </c>
      <c r="BB62" s="196"/>
      <c r="BC62" s="196"/>
      <c r="BD62" s="216">
        <f t="shared" si="23"/>
        <v>0</v>
      </c>
      <c r="BE62" s="216" t="e">
        <f t="shared" si="24"/>
        <v>#DIV/0!</v>
      </c>
      <c r="BF62" s="216">
        <f t="shared" si="25"/>
        <v>0</v>
      </c>
      <c r="BG62" s="216" t="e">
        <f t="shared" si="26"/>
        <v>#DIV/0!</v>
      </c>
      <c r="BH62" s="207">
        <f t="shared" si="7"/>
        <v>0</v>
      </c>
      <c r="BI62" s="207" t="str">
        <f t="shared" si="8"/>
        <v>No Prog ni Ejec</v>
      </c>
      <c r="BJ62" s="207">
        <f t="shared" si="9"/>
        <v>0</v>
      </c>
      <c r="BK62" s="207" t="str">
        <f t="shared" si="10"/>
        <v>No Prog ni Ejec</v>
      </c>
      <c r="BL62" s="207">
        <f t="shared" si="27"/>
        <v>0</v>
      </c>
      <c r="BM62" s="207" t="str">
        <f t="shared" si="28"/>
        <v>No Prog ni Ejec</v>
      </c>
      <c r="BN62" s="207">
        <f t="shared" si="11"/>
        <v>0</v>
      </c>
      <c r="BO62" s="207" t="str">
        <f t="shared" si="12"/>
        <v>No Prog ni Ejec</v>
      </c>
      <c r="BP62" s="206"/>
      <c r="BQ62" s="277">
        <v>1</v>
      </c>
      <c r="BR62" s="208">
        <f t="shared" si="14"/>
        <v>2.3333333333333335</v>
      </c>
      <c r="BS62" s="219" t="str">
        <f t="shared" si="29"/>
        <v>Certificaciones remitidas</v>
      </c>
      <c r="BT62" s="195">
        <f t="shared" si="13"/>
        <v>0</v>
      </c>
      <c r="BU62" s="196"/>
      <c r="BV62" s="196"/>
      <c r="BW62" s="196"/>
      <c r="BX62" s="196"/>
      <c r="BY62" s="196"/>
      <c r="BZ62" s="19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71.25" x14ac:dyDescent="0.25">
      <c r="A63" s="197">
        <v>11400</v>
      </c>
      <c r="B63" s="194" t="s">
        <v>26</v>
      </c>
      <c r="C63" s="198" t="s">
        <v>242</v>
      </c>
      <c r="D63" s="194" t="s">
        <v>144</v>
      </c>
      <c r="E63" s="198" t="s">
        <v>505</v>
      </c>
      <c r="F63" s="194" t="s">
        <v>243</v>
      </c>
      <c r="G63" s="209" t="s">
        <v>124</v>
      </c>
      <c r="H63" s="198">
        <v>2</v>
      </c>
      <c r="I63" s="198" t="s">
        <v>506</v>
      </c>
      <c r="J63" s="194" t="s">
        <v>244</v>
      </c>
      <c r="K63" s="210">
        <v>55000000</v>
      </c>
      <c r="L63" s="211">
        <v>1</v>
      </c>
      <c r="M63" s="194" t="s">
        <v>46</v>
      </c>
      <c r="N63" s="194" t="s">
        <v>68</v>
      </c>
      <c r="O63" s="194" t="s">
        <v>34</v>
      </c>
      <c r="P63" s="194" t="s">
        <v>36</v>
      </c>
      <c r="Q63" s="194"/>
      <c r="R63" s="194" t="s">
        <v>510</v>
      </c>
      <c r="S63" s="194" t="s">
        <v>99</v>
      </c>
      <c r="T63" s="215">
        <v>2</v>
      </c>
      <c r="U63" s="212" t="str">
        <f t="shared" si="15"/>
        <v>Elaboración de Estudios del Sector</v>
      </c>
      <c r="V63" s="213">
        <f t="shared" si="15"/>
        <v>55000000</v>
      </c>
      <c r="W63" s="222" t="s">
        <v>114</v>
      </c>
      <c r="X63" s="215">
        <v>0</v>
      </c>
      <c r="Y63" s="214" t="s">
        <v>244</v>
      </c>
      <c r="Z63" s="210">
        <v>55000000</v>
      </c>
      <c r="AA63" s="196"/>
      <c r="AB63" s="196"/>
      <c r="AC63" s="204" t="e">
        <f t="shared" si="16"/>
        <v>#DIV/0!</v>
      </c>
      <c r="AD63" s="204">
        <f t="shared" si="17"/>
        <v>0</v>
      </c>
      <c r="AE63" s="204">
        <f t="shared" si="0"/>
        <v>0</v>
      </c>
      <c r="AF63" s="204">
        <f t="shared" si="1"/>
        <v>0</v>
      </c>
      <c r="AG63" s="215">
        <v>1</v>
      </c>
      <c r="AH63" s="214" t="s">
        <v>244</v>
      </c>
      <c r="AI63" s="210">
        <v>0</v>
      </c>
      <c r="AJ63" s="196"/>
      <c r="AK63" s="196"/>
      <c r="AL63" s="204">
        <f t="shared" si="18"/>
        <v>0</v>
      </c>
      <c r="AM63" s="204" t="e">
        <f t="shared" si="2"/>
        <v>#DIV/0!</v>
      </c>
      <c r="AN63" s="204">
        <f t="shared" si="3"/>
        <v>0</v>
      </c>
      <c r="AO63" s="204">
        <f t="shared" si="4"/>
        <v>0</v>
      </c>
      <c r="AP63" s="215">
        <v>0</v>
      </c>
      <c r="AQ63" s="214" t="s">
        <v>244</v>
      </c>
      <c r="AR63" s="210">
        <v>0</v>
      </c>
      <c r="AS63" s="196"/>
      <c r="AT63" s="196"/>
      <c r="AU63" s="204" t="e">
        <f t="shared" si="19"/>
        <v>#DIV/0!</v>
      </c>
      <c r="AV63" s="204" t="e">
        <f t="shared" si="20"/>
        <v>#DIV/0!</v>
      </c>
      <c r="AW63" s="204">
        <f t="shared" si="21"/>
        <v>0</v>
      </c>
      <c r="AX63" s="204">
        <f t="shared" si="22"/>
        <v>0</v>
      </c>
      <c r="AY63" s="215">
        <v>1</v>
      </c>
      <c r="AZ63" s="214" t="s">
        <v>244</v>
      </c>
      <c r="BA63" s="210">
        <v>0</v>
      </c>
      <c r="BB63" s="196"/>
      <c r="BC63" s="196"/>
      <c r="BD63" s="216">
        <f t="shared" si="23"/>
        <v>0</v>
      </c>
      <c r="BE63" s="216" t="e">
        <f t="shared" si="24"/>
        <v>#DIV/0!</v>
      </c>
      <c r="BF63" s="216">
        <f t="shared" si="25"/>
        <v>0</v>
      </c>
      <c r="BG63" s="216">
        <f t="shared" si="26"/>
        <v>0</v>
      </c>
      <c r="BH63" s="228" t="str">
        <f t="shared" si="7"/>
        <v>No Prog ni Ejec</v>
      </c>
      <c r="BI63" s="228">
        <f t="shared" si="8"/>
        <v>0</v>
      </c>
      <c r="BJ63" s="228">
        <f t="shared" si="9"/>
        <v>0</v>
      </c>
      <c r="BK63" s="228" t="str">
        <f t="shared" si="10"/>
        <v>No Prog ni Ejec</v>
      </c>
      <c r="BL63" s="228" t="str">
        <f t="shared" si="27"/>
        <v>No Prog ni Ejec</v>
      </c>
      <c r="BM63" s="228" t="str">
        <f t="shared" si="28"/>
        <v>No Prog ni Ejec</v>
      </c>
      <c r="BN63" s="228">
        <f t="shared" si="11"/>
        <v>0</v>
      </c>
      <c r="BO63" s="228" t="str">
        <f t="shared" si="12"/>
        <v>No Prog ni Ejec</v>
      </c>
      <c r="BP63" s="206"/>
      <c r="BQ63" s="277">
        <v>9</v>
      </c>
      <c r="BR63" s="218">
        <f t="shared" si="14"/>
        <v>1</v>
      </c>
      <c r="BS63" s="219" t="str">
        <f t="shared" si="29"/>
        <v>Elaboración de Estudios del Sector</v>
      </c>
      <c r="BT63" s="195">
        <f t="shared" si="13"/>
        <v>55000000</v>
      </c>
      <c r="BU63" s="196"/>
      <c r="BV63" s="196"/>
      <c r="BW63" s="196"/>
      <c r="BX63" s="196"/>
      <c r="BY63" s="196"/>
      <c r="BZ63" s="19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7" x14ac:dyDescent="0.25">
      <c r="A64" s="197">
        <v>11500</v>
      </c>
      <c r="B64" s="194" t="s">
        <v>28</v>
      </c>
      <c r="C64" s="198" t="s">
        <v>259</v>
      </c>
      <c r="D64" s="194" t="s">
        <v>153</v>
      </c>
      <c r="E64" s="198" t="s">
        <v>290</v>
      </c>
      <c r="F64" s="194" t="s">
        <v>133</v>
      </c>
      <c r="G64" s="209" t="s">
        <v>124</v>
      </c>
      <c r="H64" s="198">
        <v>4</v>
      </c>
      <c r="I64" s="198" t="s">
        <v>276</v>
      </c>
      <c r="J64" s="194" t="s">
        <v>24</v>
      </c>
      <c r="K64" s="210">
        <v>0</v>
      </c>
      <c r="L64" s="211">
        <v>1</v>
      </c>
      <c r="M64" s="194" t="s">
        <v>51</v>
      </c>
      <c r="N64" s="194" t="s">
        <v>68</v>
      </c>
      <c r="O64" s="194" t="s">
        <v>21</v>
      </c>
      <c r="P64" s="194" t="s">
        <v>36</v>
      </c>
      <c r="Q64" s="194" t="s">
        <v>75</v>
      </c>
      <c r="R64" s="194" t="s">
        <v>631</v>
      </c>
      <c r="S64" s="194" t="s">
        <v>98</v>
      </c>
      <c r="T64" s="198">
        <v>4</v>
      </c>
      <c r="U64" s="212" t="str">
        <f t="shared" si="15"/>
        <v>Reportar el cumplimiento del Plan de Acción de la Dependencia</v>
      </c>
      <c r="V64" s="213">
        <f t="shared" si="15"/>
        <v>0</v>
      </c>
      <c r="W64" s="214" t="s">
        <v>117</v>
      </c>
      <c r="X64" s="215">
        <v>1</v>
      </c>
      <c r="Y64" s="214" t="s">
        <v>24</v>
      </c>
      <c r="Z64" s="210">
        <v>0</v>
      </c>
      <c r="AA64" s="196"/>
      <c r="AB64" s="196"/>
      <c r="AC64" s="204">
        <f t="shared" si="16"/>
        <v>0</v>
      </c>
      <c r="AD64" s="204" t="e">
        <f t="shared" si="17"/>
        <v>#DIV/0!</v>
      </c>
      <c r="AE64" s="204">
        <f t="shared" si="0"/>
        <v>0</v>
      </c>
      <c r="AF64" s="204" t="e">
        <f t="shared" si="1"/>
        <v>#DIV/0!</v>
      </c>
      <c r="AG64" s="215">
        <v>1</v>
      </c>
      <c r="AH64" s="214" t="s">
        <v>24</v>
      </c>
      <c r="AI64" s="210">
        <v>0</v>
      </c>
      <c r="AJ64" s="196"/>
      <c r="AK64" s="196"/>
      <c r="AL64" s="204">
        <f t="shared" si="18"/>
        <v>0</v>
      </c>
      <c r="AM64" s="204" t="e">
        <f t="shared" si="2"/>
        <v>#DIV/0!</v>
      </c>
      <c r="AN64" s="204">
        <f t="shared" si="3"/>
        <v>0</v>
      </c>
      <c r="AO64" s="204" t="e">
        <f t="shared" si="4"/>
        <v>#DIV/0!</v>
      </c>
      <c r="AP64" s="215">
        <v>1</v>
      </c>
      <c r="AQ64" s="214" t="s">
        <v>24</v>
      </c>
      <c r="AR64" s="210">
        <v>0</v>
      </c>
      <c r="AS64" s="196"/>
      <c r="AT64" s="196"/>
      <c r="AU64" s="204">
        <f t="shared" si="19"/>
        <v>0</v>
      </c>
      <c r="AV64" s="204" t="e">
        <f t="shared" si="20"/>
        <v>#DIV/0!</v>
      </c>
      <c r="AW64" s="204">
        <f t="shared" si="21"/>
        <v>0</v>
      </c>
      <c r="AX64" s="204" t="e">
        <f t="shared" si="22"/>
        <v>#DIV/0!</v>
      </c>
      <c r="AY64" s="215">
        <v>1</v>
      </c>
      <c r="AZ64" s="214" t="s">
        <v>24</v>
      </c>
      <c r="BA64" s="210">
        <v>0</v>
      </c>
      <c r="BB64" s="196"/>
      <c r="BC64" s="196"/>
      <c r="BD64" s="216">
        <f t="shared" si="23"/>
        <v>0</v>
      </c>
      <c r="BE64" s="216" t="e">
        <f t="shared" si="24"/>
        <v>#DIV/0!</v>
      </c>
      <c r="BF64" s="216">
        <f t="shared" si="25"/>
        <v>0</v>
      </c>
      <c r="BG64" s="216" t="e">
        <f t="shared" si="26"/>
        <v>#DIV/0!</v>
      </c>
      <c r="BH64" s="217">
        <f t="shared" si="7"/>
        <v>0</v>
      </c>
      <c r="BI64" s="217" t="str">
        <f t="shared" si="8"/>
        <v>No Prog ni Ejec</v>
      </c>
      <c r="BJ64" s="217">
        <f t="shared" si="9"/>
        <v>0</v>
      </c>
      <c r="BK64" s="217" t="str">
        <f t="shared" si="10"/>
        <v>No Prog ni Ejec</v>
      </c>
      <c r="BL64" s="217">
        <f t="shared" si="27"/>
        <v>0</v>
      </c>
      <c r="BM64" s="217" t="str">
        <f t="shared" si="28"/>
        <v>No Prog ni Ejec</v>
      </c>
      <c r="BN64" s="217">
        <f t="shared" si="11"/>
        <v>0</v>
      </c>
      <c r="BO64" s="217" t="str">
        <f t="shared" si="12"/>
        <v>No Prog ni Ejec</v>
      </c>
      <c r="BP64" s="206"/>
      <c r="BQ64" s="277">
        <v>5</v>
      </c>
      <c r="BR64" s="218">
        <f t="shared" si="14"/>
        <v>2.3333333333333335</v>
      </c>
      <c r="BS64" s="219" t="str">
        <f t="shared" si="29"/>
        <v>Reportar el cumplimiento del Plan de Acción de la Dependencia</v>
      </c>
      <c r="BT64" s="195">
        <f t="shared" si="13"/>
        <v>0</v>
      </c>
      <c r="BU64" s="196"/>
      <c r="BV64" s="196"/>
      <c r="BW64" s="196"/>
      <c r="BX64" s="196"/>
      <c r="BY64" s="196"/>
      <c r="BZ64" s="19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99.75" x14ac:dyDescent="0.25">
      <c r="A65" s="197">
        <v>11500</v>
      </c>
      <c r="B65" s="194" t="s">
        <v>28</v>
      </c>
      <c r="C65" s="198" t="s">
        <v>260</v>
      </c>
      <c r="D65" s="194" t="s">
        <v>256</v>
      </c>
      <c r="E65" s="198" t="s">
        <v>261</v>
      </c>
      <c r="F65" s="194" t="s">
        <v>159</v>
      </c>
      <c r="G65" s="209" t="s">
        <v>123</v>
      </c>
      <c r="H65" s="216">
        <v>1</v>
      </c>
      <c r="I65" s="198" t="s">
        <v>274</v>
      </c>
      <c r="J65" s="194" t="s">
        <v>598</v>
      </c>
      <c r="K65" s="210">
        <v>0</v>
      </c>
      <c r="L65" s="211">
        <v>1</v>
      </c>
      <c r="M65" s="194" t="s">
        <v>51</v>
      </c>
      <c r="N65" s="194" t="s">
        <v>68</v>
      </c>
      <c r="O65" s="194" t="s">
        <v>21</v>
      </c>
      <c r="P65" s="194" t="s">
        <v>36</v>
      </c>
      <c r="Q65" s="194" t="s">
        <v>75</v>
      </c>
      <c r="R65" s="194" t="s">
        <v>672</v>
      </c>
      <c r="S65" s="194" t="s">
        <v>98</v>
      </c>
      <c r="T65" s="211">
        <v>1</v>
      </c>
      <c r="U65" s="212" t="str">
        <f t="shared" si="15"/>
        <v>Formular los procesos y procedimientos en el marco del MIPG</v>
      </c>
      <c r="V65" s="213">
        <f t="shared" si="15"/>
        <v>0</v>
      </c>
      <c r="W65" s="214" t="s">
        <v>117</v>
      </c>
      <c r="X65" s="216">
        <v>0.25</v>
      </c>
      <c r="Y65" s="214" t="s">
        <v>598</v>
      </c>
      <c r="Z65" s="210">
        <v>0</v>
      </c>
      <c r="AA65" s="196"/>
      <c r="AB65" s="196"/>
      <c r="AC65" s="204">
        <f t="shared" si="16"/>
        <v>0</v>
      </c>
      <c r="AD65" s="204" t="e">
        <f t="shared" si="17"/>
        <v>#DIV/0!</v>
      </c>
      <c r="AE65" s="204">
        <f t="shared" si="0"/>
        <v>0</v>
      </c>
      <c r="AF65" s="204" t="e">
        <f t="shared" si="1"/>
        <v>#DIV/0!</v>
      </c>
      <c r="AG65" s="216">
        <v>0.25</v>
      </c>
      <c r="AH65" s="214" t="s">
        <v>598</v>
      </c>
      <c r="AI65" s="210">
        <v>0</v>
      </c>
      <c r="AJ65" s="196"/>
      <c r="AK65" s="196"/>
      <c r="AL65" s="204">
        <f t="shared" si="18"/>
        <v>0</v>
      </c>
      <c r="AM65" s="204" t="e">
        <f t="shared" si="2"/>
        <v>#DIV/0!</v>
      </c>
      <c r="AN65" s="204">
        <f t="shared" si="3"/>
        <v>0</v>
      </c>
      <c r="AO65" s="204" t="e">
        <f t="shared" si="4"/>
        <v>#DIV/0!</v>
      </c>
      <c r="AP65" s="216">
        <v>0.25</v>
      </c>
      <c r="AQ65" s="214" t="s">
        <v>598</v>
      </c>
      <c r="AR65" s="210">
        <v>0</v>
      </c>
      <c r="AS65" s="196"/>
      <c r="AT65" s="196"/>
      <c r="AU65" s="204">
        <f t="shared" si="19"/>
        <v>0</v>
      </c>
      <c r="AV65" s="204" t="e">
        <f t="shared" si="20"/>
        <v>#DIV/0!</v>
      </c>
      <c r="AW65" s="204">
        <f t="shared" si="21"/>
        <v>0</v>
      </c>
      <c r="AX65" s="204" t="e">
        <f t="shared" si="22"/>
        <v>#DIV/0!</v>
      </c>
      <c r="AY65" s="216">
        <v>0.25</v>
      </c>
      <c r="AZ65" s="214" t="s">
        <v>598</v>
      </c>
      <c r="BA65" s="210">
        <v>0</v>
      </c>
      <c r="BB65" s="196"/>
      <c r="BC65" s="196"/>
      <c r="BD65" s="216">
        <f t="shared" si="23"/>
        <v>0</v>
      </c>
      <c r="BE65" s="216" t="e">
        <f t="shared" si="24"/>
        <v>#DIV/0!</v>
      </c>
      <c r="BF65" s="216">
        <f t="shared" si="25"/>
        <v>0</v>
      </c>
      <c r="BG65" s="216" t="e">
        <f t="shared" si="26"/>
        <v>#DIV/0!</v>
      </c>
      <c r="BH65" s="217">
        <f t="shared" si="7"/>
        <v>0</v>
      </c>
      <c r="BI65" s="217" t="str">
        <f t="shared" si="8"/>
        <v>No Prog ni Ejec</v>
      </c>
      <c r="BJ65" s="217">
        <f t="shared" si="9"/>
        <v>0</v>
      </c>
      <c r="BK65" s="217" t="str">
        <f t="shared" si="10"/>
        <v>No Prog ni Ejec</v>
      </c>
      <c r="BL65" s="217">
        <f t="shared" si="27"/>
        <v>0</v>
      </c>
      <c r="BM65" s="217" t="str">
        <f t="shared" si="28"/>
        <v>No Prog ni Ejec</v>
      </c>
      <c r="BN65" s="217">
        <f t="shared" si="11"/>
        <v>0</v>
      </c>
      <c r="BO65" s="217" t="str">
        <f t="shared" si="12"/>
        <v>No Prog ni Ejec</v>
      </c>
      <c r="BP65" s="206"/>
      <c r="BQ65" s="277">
        <v>5</v>
      </c>
      <c r="BR65" s="208">
        <f t="shared" si="14"/>
        <v>0.58333333333333337</v>
      </c>
      <c r="BS65" s="219" t="str">
        <f t="shared" si="29"/>
        <v>Formular los procesos y procedimientos en el marco del MIPG</v>
      </c>
      <c r="BT65" s="195">
        <f t="shared" si="13"/>
        <v>0</v>
      </c>
      <c r="BU65" s="196"/>
      <c r="BV65" s="196"/>
      <c r="BW65" s="196"/>
      <c r="BX65" s="196"/>
      <c r="BY65" s="196"/>
      <c r="BZ65" s="19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99.75" x14ac:dyDescent="0.25">
      <c r="A66" s="197">
        <v>11500</v>
      </c>
      <c r="B66" s="194" t="s">
        <v>28</v>
      </c>
      <c r="C66" s="198" t="s">
        <v>260</v>
      </c>
      <c r="D66" s="194" t="s">
        <v>256</v>
      </c>
      <c r="E66" s="198" t="s">
        <v>262</v>
      </c>
      <c r="F66" s="194" t="s">
        <v>127</v>
      </c>
      <c r="G66" s="199" t="s">
        <v>123</v>
      </c>
      <c r="H66" s="226">
        <v>1</v>
      </c>
      <c r="I66" s="198" t="s">
        <v>275</v>
      </c>
      <c r="J66" s="194" t="s">
        <v>599</v>
      </c>
      <c r="K66" s="210">
        <v>0</v>
      </c>
      <c r="L66" s="211">
        <v>1</v>
      </c>
      <c r="M66" s="194" t="s">
        <v>51</v>
      </c>
      <c r="N66" s="194" t="s">
        <v>68</v>
      </c>
      <c r="O66" s="194" t="s">
        <v>21</v>
      </c>
      <c r="P66" s="194" t="s">
        <v>36</v>
      </c>
      <c r="Q66" s="194" t="s">
        <v>75</v>
      </c>
      <c r="R66" s="194" t="s">
        <v>570</v>
      </c>
      <c r="S66" s="194" t="s">
        <v>98</v>
      </c>
      <c r="T66" s="211">
        <v>1</v>
      </c>
      <c r="U66" s="212" t="str">
        <f t="shared" si="15"/>
        <v>Remitir informe trimestral de los indicadores formulados y las acciones de mejoras</v>
      </c>
      <c r="V66" s="213">
        <f t="shared" si="15"/>
        <v>0</v>
      </c>
      <c r="W66" s="214" t="s">
        <v>117</v>
      </c>
      <c r="X66" s="216">
        <v>0</v>
      </c>
      <c r="Y66" s="214" t="s">
        <v>599</v>
      </c>
      <c r="Z66" s="210">
        <v>0</v>
      </c>
      <c r="AA66" s="196"/>
      <c r="AB66" s="196"/>
      <c r="AC66" s="204" t="e">
        <f t="shared" si="16"/>
        <v>#DIV/0!</v>
      </c>
      <c r="AD66" s="204" t="e">
        <f t="shared" si="17"/>
        <v>#DIV/0!</v>
      </c>
      <c r="AE66" s="204">
        <f t="shared" si="0"/>
        <v>0</v>
      </c>
      <c r="AF66" s="204" t="e">
        <f t="shared" si="1"/>
        <v>#DIV/0!</v>
      </c>
      <c r="AG66" s="216">
        <v>0</v>
      </c>
      <c r="AH66" s="214" t="s">
        <v>599</v>
      </c>
      <c r="AI66" s="210">
        <v>0</v>
      </c>
      <c r="AJ66" s="196"/>
      <c r="AK66" s="196"/>
      <c r="AL66" s="204" t="e">
        <f t="shared" si="18"/>
        <v>#DIV/0!</v>
      </c>
      <c r="AM66" s="204" t="e">
        <f t="shared" si="2"/>
        <v>#DIV/0!</v>
      </c>
      <c r="AN66" s="204">
        <f t="shared" si="3"/>
        <v>0</v>
      </c>
      <c r="AO66" s="204" t="e">
        <f t="shared" si="4"/>
        <v>#DIV/0!</v>
      </c>
      <c r="AP66" s="216">
        <v>0</v>
      </c>
      <c r="AQ66" s="214" t="s">
        <v>599</v>
      </c>
      <c r="AR66" s="210">
        <v>0</v>
      </c>
      <c r="AS66" s="196"/>
      <c r="AT66" s="196"/>
      <c r="AU66" s="204" t="e">
        <f t="shared" si="19"/>
        <v>#DIV/0!</v>
      </c>
      <c r="AV66" s="204" t="e">
        <f t="shared" si="20"/>
        <v>#DIV/0!</v>
      </c>
      <c r="AW66" s="204">
        <f t="shared" si="21"/>
        <v>0</v>
      </c>
      <c r="AX66" s="204" t="e">
        <f t="shared" si="22"/>
        <v>#DIV/0!</v>
      </c>
      <c r="AY66" s="216">
        <v>1</v>
      </c>
      <c r="AZ66" s="214" t="s">
        <v>599</v>
      </c>
      <c r="BA66" s="210">
        <v>0</v>
      </c>
      <c r="BB66" s="196"/>
      <c r="BC66" s="196"/>
      <c r="BD66" s="216">
        <f t="shared" si="23"/>
        <v>0</v>
      </c>
      <c r="BE66" s="216" t="e">
        <f t="shared" si="24"/>
        <v>#DIV/0!</v>
      </c>
      <c r="BF66" s="216">
        <f t="shared" si="25"/>
        <v>0</v>
      </c>
      <c r="BG66" s="216" t="e">
        <f t="shared" si="26"/>
        <v>#DIV/0!</v>
      </c>
      <c r="BH66" s="217" t="str">
        <f t="shared" si="7"/>
        <v>No Prog ni Ejec</v>
      </c>
      <c r="BI66" s="217" t="str">
        <f t="shared" si="8"/>
        <v>No Prog ni Ejec</v>
      </c>
      <c r="BJ66" s="217" t="str">
        <f t="shared" si="9"/>
        <v>No Prog ni Ejec</v>
      </c>
      <c r="BK66" s="217" t="str">
        <f t="shared" si="10"/>
        <v>No Prog ni Ejec</v>
      </c>
      <c r="BL66" s="217" t="str">
        <f t="shared" si="27"/>
        <v>No Prog ni Ejec</v>
      </c>
      <c r="BM66" s="217" t="str">
        <f t="shared" si="28"/>
        <v>No Prog ni Ejec</v>
      </c>
      <c r="BN66" s="217">
        <f t="shared" si="11"/>
        <v>0</v>
      </c>
      <c r="BO66" s="217" t="str">
        <f t="shared" si="12"/>
        <v>No Prog ni Ejec</v>
      </c>
      <c r="BP66" s="206"/>
      <c r="BQ66" s="277">
        <v>5</v>
      </c>
      <c r="BR66" s="208">
        <f t="shared" si="14"/>
        <v>0</v>
      </c>
      <c r="BS66" s="219" t="str">
        <f t="shared" si="29"/>
        <v>Remitir informe trimestral de los indicadores formulados y las acciones de mejoras</v>
      </c>
      <c r="BT66" s="195">
        <f t="shared" si="13"/>
        <v>0</v>
      </c>
      <c r="BU66" s="196"/>
      <c r="BV66" s="196"/>
      <c r="BW66" s="196"/>
      <c r="BX66" s="196"/>
      <c r="BY66" s="196"/>
      <c r="BZ66" s="19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71.25" x14ac:dyDescent="0.25">
      <c r="A67" s="197">
        <v>11500</v>
      </c>
      <c r="B67" s="194" t="s">
        <v>28</v>
      </c>
      <c r="C67" s="198" t="s">
        <v>263</v>
      </c>
      <c r="D67" s="194" t="s">
        <v>144</v>
      </c>
      <c r="E67" s="198" t="s">
        <v>264</v>
      </c>
      <c r="F67" s="194" t="s">
        <v>600</v>
      </c>
      <c r="G67" s="209" t="s">
        <v>124</v>
      </c>
      <c r="H67" s="198">
        <v>12</v>
      </c>
      <c r="I67" s="198" t="s">
        <v>265</v>
      </c>
      <c r="J67" s="194" t="s">
        <v>601</v>
      </c>
      <c r="K67" s="210">
        <v>36720000</v>
      </c>
      <c r="L67" s="211">
        <v>1</v>
      </c>
      <c r="M67" s="194" t="s">
        <v>46</v>
      </c>
      <c r="N67" s="194" t="s">
        <v>68</v>
      </c>
      <c r="O67" s="194" t="s">
        <v>21</v>
      </c>
      <c r="P67" s="194" t="s">
        <v>36</v>
      </c>
      <c r="Q67" s="194" t="s">
        <v>211</v>
      </c>
      <c r="R67" s="194" t="s">
        <v>673</v>
      </c>
      <c r="S67" s="194" t="s">
        <v>98</v>
      </c>
      <c r="T67" s="221">
        <v>12</v>
      </c>
      <c r="U67" s="212" t="str">
        <f t="shared" si="15"/>
        <v>Realizar el giro previo efectuados a favor de las entidades recobrantes y proveedores de servicios y tecnologías no incluidas en el PB con cargo a la UPC</v>
      </c>
      <c r="V67" s="213">
        <f t="shared" si="15"/>
        <v>36720000</v>
      </c>
      <c r="W67" s="222" t="s">
        <v>114</v>
      </c>
      <c r="X67" s="284">
        <v>3</v>
      </c>
      <c r="Y67" s="282" t="s">
        <v>601</v>
      </c>
      <c r="Z67" s="283">
        <f>+V67*0.25</f>
        <v>9180000</v>
      </c>
      <c r="AA67" s="279"/>
      <c r="AB67" s="279"/>
      <c r="AC67" s="280">
        <f t="shared" si="16"/>
        <v>0</v>
      </c>
      <c r="AD67" s="280">
        <f t="shared" si="17"/>
        <v>0</v>
      </c>
      <c r="AE67" s="280">
        <f t="shared" si="0"/>
        <v>0</v>
      </c>
      <c r="AF67" s="280">
        <f t="shared" si="1"/>
        <v>0</v>
      </c>
      <c r="AG67" s="284">
        <v>3</v>
      </c>
      <c r="AH67" s="282" t="s">
        <v>601</v>
      </c>
      <c r="AI67" s="283">
        <v>9180000</v>
      </c>
      <c r="AJ67" s="279"/>
      <c r="AK67" s="279"/>
      <c r="AL67" s="280">
        <f t="shared" si="18"/>
        <v>0</v>
      </c>
      <c r="AM67" s="280">
        <f t="shared" si="2"/>
        <v>0</v>
      </c>
      <c r="AN67" s="280">
        <f t="shared" si="3"/>
        <v>0</v>
      </c>
      <c r="AO67" s="280">
        <f t="shared" si="4"/>
        <v>0</v>
      </c>
      <c r="AP67" s="284">
        <v>3</v>
      </c>
      <c r="AQ67" s="282" t="s">
        <v>601</v>
      </c>
      <c r="AR67" s="283">
        <v>9180000</v>
      </c>
      <c r="AS67" s="279"/>
      <c r="AT67" s="279"/>
      <c r="AU67" s="280">
        <f t="shared" si="19"/>
        <v>0</v>
      </c>
      <c r="AV67" s="280">
        <f t="shared" si="20"/>
        <v>0</v>
      </c>
      <c r="AW67" s="280">
        <f t="shared" si="21"/>
        <v>0</v>
      </c>
      <c r="AX67" s="280">
        <f t="shared" si="22"/>
        <v>0</v>
      </c>
      <c r="AY67" s="284">
        <v>3</v>
      </c>
      <c r="AZ67" s="282" t="s">
        <v>601</v>
      </c>
      <c r="BA67" s="283">
        <v>9180000</v>
      </c>
      <c r="BB67" s="279"/>
      <c r="BC67" s="279"/>
      <c r="BD67" s="281">
        <f t="shared" si="23"/>
        <v>0</v>
      </c>
      <c r="BE67" s="281">
        <f t="shared" si="24"/>
        <v>0</v>
      </c>
      <c r="BF67" s="281">
        <f t="shared" si="25"/>
        <v>0</v>
      </c>
      <c r="BG67" s="281">
        <f t="shared" si="26"/>
        <v>0</v>
      </c>
      <c r="BH67" s="205">
        <f t="shared" si="7"/>
        <v>0</v>
      </c>
      <c r="BI67" s="205">
        <f t="shared" si="8"/>
        <v>0</v>
      </c>
      <c r="BJ67" s="205">
        <f t="shared" si="9"/>
        <v>0</v>
      </c>
      <c r="BK67" s="205">
        <f t="shared" si="10"/>
        <v>0</v>
      </c>
      <c r="BL67" s="205">
        <f t="shared" si="27"/>
        <v>0</v>
      </c>
      <c r="BM67" s="205">
        <f t="shared" si="28"/>
        <v>0</v>
      </c>
      <c r="BN67" s="205">
        <f t="shared" si="11"/>
        <v>0</v>
      </c>
      <c r="BO67" s="205">
        <f t="shared" si="12"/>
        <v>0</v>
      </c>
      <c r="BP67" s="206" t="s">
        <v>717</v>
      </c>
      <c r="BQ67" s="277">
        <v>10</v>
      </c>
      <c r="BR67" s="218">
        <f t="shared" si="14"/>
        <v>7</v>
      </c>
      <c r="BS67" s="219" t="str">
        <f t="shared" si="29"/>
        <v>Realizar el giro previo efectuados a favor de las entidades recobrantes y proveedores de servicios y tecnologías no incluidas en el PB con cargo a la UPC</v>
      </c>
      <c r="BT67" s="195">
        <f t="shared" si="13"/>
        <v>21420000</v>
      </c>
      <c r="BU67" s="196"/>
      <c r="BV67" s="196"/>
      <c r="BW67" s="196"/>
      <c r="BX67" s="196"/>
      <c r="BY67" s="196"/>
      <c r="BZ67" s="19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99.75" x14ac:dyDescent="0.25">
      <c r="A68" s="197">
        <v>11500</v>
      </c>
      <c r="B68" s="194" t="s">
        <v>28</v>
      </c>
      <c r="C68" s="198" t="s">
        <v>263</v>
      </c>
      <c r="D68" s="194" t="s">
        <v>144</v>
      </c>
      <c r="E68" s="198" t="s">
        <v>529</v>
      </c>
      <c r="F68" s="194" t="s">
        <v>602</v>
      </c>
      <c r="G68" s="209" t="s">
        <v>123</v>
      </c>
      <c r="H68" s="216">
        <v>1</v>
      </c>
      <c r="I68" s="198" t="s">
        <v>530</v>
      </c>
      <c r="J68" s="194" t="s">
        <v>603</v>
      </c>
      <c r="K68" s="210">
        <v>33371192463</v>
      </c>
      <c r="L68" s="211">
        <v>1</v>
      </c>
      <c r="M68" s="194" t="s">
        <v>46</v>
      </c>
      <c r="N68" s="194" t="s">
        <v>68</v>
      </c>
      <c r="O68" s="194" t="s">
        <v>21</v>
      </c>
      <c r="P68" s="194" t="s">
        <v>36</v>
      </c>
      <c r="Q68" s="194" t="s">
        <v>211</v>
      </c>
      <c r="R68" s="194" t="s">
        <v>674</v>
      </c>
      <c r="S68" s="194" t="s">
        <v>98</v>
      </c>
      <c r="T68" s="211">
        <v>1</v>
      </c>
      <c r="U68" s="212" t="str">
        <f t="shared" si="15"/>
        <v>Paquetes de recobros cuyo trámite de auditoría haya culminado, para el trámite de reconocimiento y pago por parte de ADRES.</v>
      </c>
      <c r="V68" s="213">
        <f t="shared" si="15"/>
        <v>33371192463</v>
      </c>
      <c r="W68" s="222" t="s">
        <v>114</v>
      </c>
      <c r="X68" s="281">
        <v>0.25</v>
      </c>
      <c r="Y68" s="282" t="s">
        <v>603</v>
      </c>
      <c r="Z68" s="283">
        <f>+V68*X68</f>
        <v>8342798115.75</v>
      </c>
      <c r="AA68" s="279"/>
      <c r="AB68" s="279"/>
      <c r="AC68" s="280">
        <f t="shared" si="16"/>
        <v>0</v>
      </c>
      <c r="AD68" s="280">
        <f t="shared" si="17"/>
        <v>0</v>
      </c>
      <c r="AE68" s="280">
        <f t="shared" si="0"/>
        <v>0</v>
      </c>
      <c r="AF68" s="280">
        <f t="shared" si="1"/>
        <v>0</v>
      </c>
      <c r="AG68" s="281">
        <v>0.25</v>
      </c>
      <c r="AH68" s="282" t="s">
        <v>603</v>
      </c>
      <c r="AI68" s="283">
        <v>8342798115.75</v>
      </c>
      <c r="AJ68" s="279"/>
      <c r="AK68" s="279"/>
      <c r="AL68" s="280">
        <f t="shared" si="18"/>
        <v>0</v>
      </c>
      <c r="AM68" s="280">
        <f t="shared" si="2"/>
        <v>0</v>
      </c>
      <c r="AN68" s="280">
        <f t="shared" si="3"/>
        <v>0</v>
      </c>
      <c r="AO68" s="280">
        <f t="shared" si="4"/>
        <v>0</v>
      </c>
      <c r="AP68" s="281">
        <v>0.25</v>
      </c>
      <c r="AQ68" s="282" t="s">
        <v>603</v>
      </c>
      <c r="AR68" s="283">
        <v>8342798115.75</v>
      </c>
      <c r="AS68" s="279"/>
      <c r="AT68" s="279"/>
      <c r="AU68" s="280">
        <f t="shared" si="19"/>
        <v>0</v>
      </c>
      <c r="AV68" s="280">
        <f t="shared" si="20"/>
        <v>0</v>
      </c>
      <c r="AW68" s="280">
        <f t="shared" si="21"/>
        <v>0</v>
      </c>
      <c r="AX68" s="280">
        <f t="shared" si="22"/>
        <v>0</v>
      </c>
      <c r="AY68" s="281">
        <v>0.25</v>
      </c>
      <c r="AZ68" s="282" t="s">
        <v>603</v>
      </c>
      <c r="BA68" s="283">
        <v>8342798115.75</v>
      </c>
      <c r="BB68" s="279"/>
      <c r="BC68" s="279"/>
      <c r="BD68" s="281">
        <f t="shared" si="23"/>
        <v>0</v>
      </c>
      <c r="BE68" s="281">
        <f t="shared" si="24"/>
        <v>0</v>
      </c>
      <c r="BF68" s="281">
        <f t="shared" si="25"/>
        <v>0</v>
      </c>
      <c r="BG68" s="281">
        <f t="shared" si="26"/>
        <v>0</v>
      </c>
      <c r="BH68" s="205">
        <f t="shared" si="7"/>
        <v>0</v>
      </c>
      <c r="BI68" s="205">
        <f t="shared" si="8"/>
        <v>0</v>
      </c>
      <c r="BJ68" s="205">
        <f t="shared" si="9"/>
        <v>0</v>
      </c>
      <c r="BK68" s="205">
        <f t="shared" si="10"/>
        <v>0</v>
      </c>
      <c r="BL68" s="205">
        <f t="shared" si="27"/>
        <v>0</v>
      </c>
      <c r="BM68" s="205">
        <f t="shared" si="28"/>
        <v>0</v>
      </c>
      <c r="BN68" s="205">
        <f t="shared" si="11"/>
        <v>0</v>
      </c>
      <c r="BO68" s="205">
        <f t="shared" si="12"/>
        <v>0</v>
      </c>
      <c r="BP68" s="206" t="s">
        <v>717</v>
      </c>
      <c r="BQ68" s="277">
        <v>10</v>
      </c>
      <c r="BR68" s="208">
        <f t="shared" si="14"/>
        <v>0.58333333333333337</v>
      </c>
      <c r="BS68" s="219" t="str">
        <f t="shared" si="29"/>
        <v>Paquetes de recobros cuyo trámite de auditoría haya culminado, para el trámite de reconocimiento y pago por parte de ADRES.</v>
      </c>
      <c r="BT68" s="195">
        <f t="shared" si="13"/>
        <v>19466528936.75</v>
      </c>
      <c r="BU68" s="196"/>
      <c r="BV68" s="196"/>
      <c r="BW68" s="196"/>
      <c r="BX68" s="196"/>
      <c r="BY68" s="196"/>
      <c r="BZ68" s="19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71.25" x14ac:dyDescent="0.25">
      <c r="A69" s="197">
        <v>11500</v>
      </c>
      <c r="B69" s="194" t="s">
        <v>28</v>
      </c>
      <c r="C69" s="198" t="s">
        <v>263</v>
      </c>
      <c r="D69" s="194" t="s">
        <v>144</v>
      </c>
      <c r="E69" s="198" t="s">
        <v>531</v>
      </c>
      <c r="F69" s="201" t="s">
        <v>604</v>
      </c>
      <c r="G69" s="209" t="s">
        <v>124</v>
      </c>
      <c r="H69" s="229">
        <v>12</v>
      </c>
      <c r="I69" s="198" t="s">
        <v>532</v>
      </c>
      <c r="J69" s="194" t="s">
        <v>606</v>
      </c>
      <c r="K69" s="210">
        <v>0</v>
      </c>
      <c r="L69" s="211">
        <v>1</v>
      </c>
      <c r="M69" s="194" t="s">
        <v>46</v>
      </c>
      <c r="N69" s="194" t="s">
        <v>68</v>
      </c>
      <c r="O69" s="194" t="s">
        <v>21</v>
      </c>
      <c r="P69" s="194" t="s">
        <v>36</v>
      </c>
      <c r="Q69" s="194" t="s">
        <v>211</v>
      </c>
      <c r="R69" s="194" t="s">
        <v>675</v>
      </c>
      <c r="S69" s="194" t="s">
        <v>98</v>
      </c>
      <c r="T69" s="230">
        <v>12</v>
      </c>
      <c r="U69" s="212" t="str">
        <f t="shared" si="15"/>
        <v>Publicación del Giro Directo del giro previo</v>
      </c>
      <c r="V69" s="213">
        <f t="shared" si="15"/>
        <v>0</v>
      </c>
      <c r="W69" s="214" t="s">
        <v>117</v>
      </c>
      <c r="X69" s="284">
        <v>3</v>
      </c>
      <c r="Y69" s="282" t="s">
        <v>606</v>
      </c>
      <c r="Z69" s="283">
        <v>0</v>
      </c>
      <c r="AA69" s="279"/>
      <c r="AB69" s="279"/>
      <c r="AC69" s="280">
        <f t="shared" si="16"/>
        <v>0</v>
      </c>
      <c r="AD69" s="280" t="e">
        <f t="shared" si="17"/>
        <v>#DIV/0!</v>
      </c>
      <c r="AE69" s="280">
        <f t="shared" si="0"/>
        <v>0</v>
      </c>
      <c r="AF69" s="280" t="e">
        <f t="shared" si="1"/>
        <v>#DIV/0!</v>
      </c>
      <c r="AG69" s="284">
        <v>3</v>
      </c>
      <c r="AH69" s="282" t="s">
        <v>606</v>
      </c>
      <c r="AI69" s="283">
        <v>0</v>
      </c>
      <c r="AJ69" s="279"/>
      <c r="AK69" s="279"/>
      <c r="AL69" s="280">
        <f t="shared" si="18"/>
        <v>0</v>
      </c>
      <c r="AM69" s="280" t="e">
        <f t="shared" si="2"/>
        <v>#DIV/0!</v>
      </c>
      <c r="AN69" s="280">
        <f t="shared" si="3"/>
        <v>0</v>
      </c>
      <c r="AO69" s="280" t="e">
        <f t="shared" si="4"/>
        <v>#DIV/0!</v>
      </c>
      <c r="AP69" s="284">
        <v>3</v>
      </c>
      <c r="AQ69" s="282" t="s">
        <v>606</v>
      </c>
      <c r="AR69" s="283">
        <v>0</v>
      </c>
      <c r="AS69" s="279"/>
      <c r="AT69" s="279"/>
      <c r="AU69" s="280">
        <f t="shared" si="19"/>
        <v>0</v>
      </c>
      <c r="AV69" s="280" t="e">
        <f t="shared" si="20"/>
        <v>#DIV/0!</v>
      </c>
      <c r="AW69" s="280">
        <f t="shared" si="21"/>
        <v>0</v>
      </c>
      <c r="AX69" s="280" t="e">
        <f t="shared" si="22"/>
        <v>#DIV/0!</v>
      </c>
      <c r="AY69" s="284">
        <v>3</v>
      </c>
      <c r="AZ69" s="282" t="s">
        <v>606</v>
      </c>
      <c r="BA69" s="283">
        <v>0</v>
      </c>
      <c r="BB69" s="279"/>
      <c r="BC69" s="279"/>
      <c r="BD69" s="281">
        <f t="shared" si="23"/>
        <v>0</v>
      </c>
      <c r="BE69" s="281" t="e">
        <f t="shared" si="24"/>
        <v>#DIV/0!</v>
      </c>
      <c r="BF69" s="281">
        <f t="shared" si="25"/>
        <v>0</v>
      </c>
      <c r="BG69" s="281" t="e">
        <f t="shared" si="26"/>
        <v>#DIV/0!</v>
      </c>
      <c r="BH69" s="205">
        <f t="shared" si="7"/>
        <v>0</v>
      </c>
      <c r="BI69" s="205" t="str">
        <f t="shared" si="8"/>
        <v>No Prog ni Ejec</v>
      </c>
      <c r="BJ69" s="205">
        <f t="shared" si="9"/>
        <v>0</v>
      </c>
      <c r="BK69" s="205" t="str">
        <f t="shared" si="10"/>
        <v>No Prog ni Ejec</v>
      </c>
      <c r="BL69" s="205">
        <f t="shared" si="27"/>
        <v>0</v>
      </c>
      <c r="BM69" s="205" t="str">
        <f t="shared" si="28"/>
        <v>No Prog ni Ejec</v>
      </c>
      <c r="BN69" s="205">
        <f t="shared" si="11"/>
        <v>0</v>
      </c>
      <c r="BO69" s="205" t="str">
        <f t="shared" si="12"/>
        <v>No Prog ni Ejec</v>
      </c>
      <c r="BP69" s="206"/>
      <c r="BQ69" s="277">
        <v>10</v>
      </c>
      <c r="BR69" s="218">
        <f t="shared" si="14"/>
        <v>7</v>
      </c>
      <c r="BS69" s="219" t="str">
        <f t="shared" si="29"/>
        <v>Publicación del Giro Directo del giro previo</v>
      </c>
      <c r="BT69" s="195">
        <f t="shared" si="13"/>
        <v>0</v>
      </c>
      <c r="BU69" s="196"/>
      <c r="BV69" s="196"/>
      <c r="BW69" s="196"/>
      <c r="BX69" s="196"/>
      <c r="BY69" s="196"/>
      <c r="BZ69" s="19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71.25" x14ac:dyDescent="0.25">
      <c r="A70" s="197">
        <v>11500</v>
      </c>
      <c r="B70" s="194" t="s">
        <v>28</v>
      </c>
      <c r="C70" s="198" t="s">
        <v>263</v>
      </c>
      <c r="D70" s="194" t="s">
        <v>144</v>
      </c>
      <c r="E70" s="198" t="s">
        <v>533</v>
      </c>
      <c r="F70" s="194" t="s">
        <v>607</v>
      </c>
      <c r="G70" s="209" t="s">
        <v>123</v>
      </c>
      <c r="H70" s="216">
        <v>1</v>
      </c>
      <c r="I70" s="198" t="s">
        <v>534</v>
      </c>
      <c r="J70" s="194" t="s">
        <v>758</v>
      </c>
      <c r="K70" s="210">
        <v>0</v>
      </c>
      <c r="L70" s="211">
        <v>1</v>
      </c>
      <c r="M70" s="194" t="s">
        <v>46</v>
      </c>
      <c r="N70" s="194" t="s">
        <v>68</v>
      </c>
      <c r="O70" s="194" t="s">
        <v>21</v>
      </c>
      <c r="P70" s="194" t="s">
        <v>36</v>
      </c>
      <c r="Q70" s="194" t="s">
        <v>211</v>
      </c>
      <c r="R70" s="194" t="s">
        <v>622</v>
      </c>
      <c r="S70" s="194" t="s">
        <v>98</v>
      </c>
      <c r="T70" s="211">
        <v>1</v>
      </c>
      <c r="U70" s="212" t="str">
        <f t="shared" si="15"/>
        <v>Realizar informes de supervisión en el período</v>
      </c>
      <c r="V70" s="213">
        <f t="shared" si="15"/>
        <v>0</v>
      </c>
      <c r="W70" s="214" t="s">
        <v>117</v>
      </c>
      <c r="X70" s="216">
        <v>0.25</v>
      </c>
      <c r="Y70" s="214" t="s">
        <v>758</v>
      </c>
      <c r="Z70" s="210">
        <v>0</v>
      </c>
      <c r="AA70" s="196"/>
      <c r="AB70" s="196"/>
      <c r="AC70" s="204">
        <f t="shared" si="16"/>
        <v>0</v>
      </c>
      <c r="AD70" s="204" t="e">
        <f t="shared" si="17"/>
        <v>#DIV/0!</v>
      </c>
      <c r="AE70" s="204">
        <f t="shared" si="0"/>
        <v>0</v>
      </c>
      <c r="AF70" s="204" t="e">
        <f t="shared" si="1"/>
        <v>#DIV/0!</v>
      </c>
      <c r="AG70" s="216">
        <v>0.25</v>
      </c>
      <c r="AH70" s="214" t="s">
        <v>758</v>
      </c>
      <c r="AI70" s="210">
        <v>0</v>
      </c>
      <c r="AJ70" s="196"/>
      <c r="AK70" s="196"/>
      <c r="AL70" s="204">
        <f t="shared" si="18"/>
        <v>0</v>
      </c>
      <c r="AM70" s="204" t="e">
        <f t="shared" si="2"/>
        <v>#DIV/0!</v>
      </c>
      <c r="AN70" s="204">
        <f t="shared" si="3"/>
        <v>0</v>
      </c>
      <c r="AO70" s="204" t="e">
        <f t="shared" si="4"/>
        <v>#DIV/0!</v>
      </c>
      <c r="AP70" s="216">
        <v>0.25</v>
      </c>
      <c r="AQ70" s="214" t="s">
        <v>758</v>
      </c>
      <c r="AR70" s="210">
        <v>0</v>
      </c>
      <c r="AS70" s="196"/>
      <c r="AT70" s="196"/>
      <c r="AU70" s="204">
        <f t="shared" si="19"/>
        <v>0</v>
      </c>
      <c r="AV70" s="204" t="e">
        <f t="shared" si="20"/>
        <v>#DIV/0!</v>
      </c>
      <c r="AW70" s="204">
        <f t="shared" si="21"/>
        <v>0</v>
      </c>
      <c r="AX70" s="204" t="e">
        <f t="shared" si="22"/>
        <v>#DIV/0!</v>
      </c>
      <c r="AY70" s="216">
        <v>0.25</v>
      </c>
      <c r="AZ70" s="214" t="s">
        <v>758</v>
      </c>
      <c r="BA70" s="210">
        <v>0</v>
      </c>
      <c r="BB70" s="196"/>
      <c r="BC70" s="196"/>
      <c r="BD70" s="216">
        <f t="shared" si="23"/>
        <v>0</v>
      </c>
      <c r="BE70" s="216" t="e">
        <f t="shared" si="24"/>
        <v>#DIV/0!</v>
      </c>
      <c r="BF70" s="216">
        <f t="shared" si="25"/>
        <v>0</v>
      </c>
      <c r="BG70" s="216" t="e">
        <f t="shared" si="26"/>
        <v>#DIV/0!</v>
      </c>
      <c r="BH70" s="217">
        <f t="shared" si="7"/>
        <v>0</v>
      </c>
      <c r="BI70" s="217" t="str">
        <f t="shared" si="8"/>
        <v>No Prog ni Ejec</v>
      </c>
      <c r="BJ70" s="217">
        <f t="shared" si="9"/>
        <v>0</v>
      </c>
      <c r="BK70" s="217" t="str">
        <f t="shared" si="10"/>
        <v>No Prog ni Ejec</v>
      </c>
      <c r="BL70" s="217">
        <f t="shared" si="27"/>
        <v>0</v>
      </c>
      <c r="BM70" s="217" t="str">
        <f t="shared" si="28"/>
        <v>No Prog ni Ejec</v>
      </c>
      <c r="BN70" s="217">
        <f t="shared" si="11"/>
        <v>0</v>
      </c>
      <c r="BO70" s="217" t="str">
        <f t="shared" si="12"/>
        <v>No Prog ni Ejec</v>
      </c>
      <c r="BP70" s="206"/>
      <c r="BQ70" s="277">
        <v>10</v>
      </c>
      <c r="BR70" s="208">
        <f t="shared" si="14"/>
        <v>0.58333333333333337</v>
      </c>
      <c r="BS70" s="219" t="str">
        <f t="shared" si="29"/>
        <v>Realizar informes de supervisión en el período</v>
      </c>
      <c r="BT70" s="195">
        <f t="shared" si="13"/>
        <v>0</v>
      </c>
      <c r="BU70" s="196"/>
      <c r="BV70" s="196"/>
      <c r="BW70" s="196"/>
      <c r="BX70" s="196"/>
      <c r="BY70" s="196"/>
      <c r="BZ70" s="19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85.5" x14ac:dyDescent="0.25">
      <c r="A71" s="197">
        <v>11500</v>
      </c>
      <c r="B71" s="194" t="s">
        <v>28</v>
      </c>
      <c r="C71" s="198" t="s">
        <v>263</v>
      </c>
      <c r="D71" s="194" t="s">
        <v>144</v>
      </c>
      <c r="E71" s="198" t="s">
        <v>535</v>
      </c>
      <c r="F71" s="194" t="s">
        <v>609</v>
      </c>
      <c r="G71" s="209" t="s">
        <v>384</v>
      </c>
      <c r="H71" s="229">
        <v>4</v>
      </c>
      <c r="I71" s="198" t="s">
        <v>536</v>
      </c>
      <c r="J71" s="194" t="s">
        <v>610</v>
      </c>
      <c r="K71" s="210">
        <v>0</v>
      </c>
      <c r="L71" s="211">
        <v>1</v>
      </c>
      <c r="M71" s="194" t="s">
        <v>46</v>
      </c>
      <c r="N71" s="194" t="s">
        <v>68</v>
      </c>
      <c r="O71" s="194" t="s">
        <v>21</v>
      </c>
      <c r="P71" s="194" t="s">
        <v>36</v>
      </c>
      <c r="Q71" s="194" t="s">
        <v>211</v>
      </c>
      <c r="R71" s="194" t="s">
        <v>623</v>
      </c>
      <c r="S71" s="194" t="s">
        <v>98</v>
      </c>
      <c r="T71" s="221">
        <v>4</v>
      </c>
      <c r="U71" s="212" t="str">
        <f t="shared" si="15"/>
        <v xml:space="preserve">Realizar boletines con resultados del proceso de reconocimiento y pago de recobros por concepto de servicios y tecnologías no cubiertos por el plan de beneficios con cargo a la UPC </v>
      </c>
      <c r="V71" s="213">
        <f t="shared" si="15"/>
        <v>0</v>
      </c>
      <c r="W71" s="214" t="s">
        <v>117</v>
      </c>
      <c r="X71" s="215">
        <v>1</v>
      </c>
      <c r="Y71" s="214" t="s">
        <v>610</v>
      </c>
      <c r="Z71" s="210">
        <v>0</v>
      </c>
      <c r="AA71" s="196"/>
      <c r="AB71" s="196"/>
      <c r="AC71" s="204">
        <f t="shared" si="16"/>
        <v>0</v>
      </c>
      <c r="AD71" s="204" t="e">
        <f t="shared" si="17"/>
        <v>#DIV/0!</v>
      </c>
      <c r="AE71" s="204">
        <f t="shared" si="0"/>
        <v>0</v>
      </c>
      <c r="AF71" s="204" t="e">
        <f t="shared" si="1"/>
        <v>#DIV/0!</v>
      </c>
      <c r="AG71" s="215">
        <v>1</v>
      </c>
      <c r="AH71" s="214" t="s">
        <v>610</v>
      </c>
      <c r="AI71" s="210">
        <v>0</v>
      </c>
      <c r="AJ71" s="196"/>
      <c r="AK71" s="196"/>
      <c r="AL71" s="204">
        <f t="shared" si="18"/>
        <v>0</v>
      </c>
      <c r="AM71" s="204" t="e">
        <f t="shared" si="2"/>
        <v>#DIV/0!</v>
      </c>
      <c r="AN71" s="204">
        <f t="shared" si="3"/>
        <v>0</v>
      </c>
      <c r="AO71" s="204" t="e">
        <f t="shared" si="4"/>
        <v>#DIV/0!</v>
      </c>
      <c r="AP71" s="215">
        <v>1</v>
      </c>
      <c r="AQ71" s="214" t="s">
        <v>610</v>
      </c>
      <c r="AR71" s="210">
        <v>0</v>
      </c>
      <c r="AS71" s="196"/>
      <c r="AT71" s="196"/>
      <c r="AU71" s="204">
        <f t="shared" si="19"/>
        <v>0</v>
      </c>
      <c r="AV71" s="204" t="e">
        <f t="shared" si="20"/>
        <v>#DIV/0!</v>
      </c>
      <c r="AW71" s="204">
        <f t="shared" si="21"/>
        <v>0</v>
      </c>
      <c r="AX71" s="204" t="e">
        <f t="shared" si="22"/>
        <v>#DIV/0!</v>
      </c>
      <c r="AY71" s="215">
        <v>1</v>
      </c>
      <c r="AZ71" s="214" t="s">
        <v>610</v>
      </c>
      <c r="BA71" s="210">
        <v>0</v>
      </c>
      <c r="BB71" s="196"/>
      <c r="BC71" s="196"/>
      <c r="BD71" s="216">
        <f t="shared" si="23"/>
        <v>0</v>
      </c>
      <c r="BE71" s="216" t="e">
        <f t="shared" si="24"/>
        <v>#DIV/0!</v>
      </c>
      <c r="BF71" s="216">
        <f t="shared" si="25"/>
        <v>0</v>
      </c>
      <c r="BG71" s="216" t="e">
        <f t="shared" si="26"/>
        <v>#DIV/0!</v>
      </c>
      <c r="BH71" s="207">
        <f t="shared" si="7"/>
        <v>0</v>
      </c>
      <c r="BI71" s="207" t="str">
        <f t="shared" si="8"/>
        <v>No Prog ni Ejec</v>
      </c>
      <c r="BJ71" s="207">
        <f t="shared" si="9"/>
        <v>0</v>
      </c>
      <c r="BK71" s="207" t="str">
        <f t="shared" si="10"/>
        <v>No Prog ni Ejec</v>
      </c>
      <c r="BL71" s="207">
        <f t="shared" si="27"/>
        <v>0</v>
      </c>
      <c r="BM71" s="207" t="str">
        <f t="shared" si="28"/>
        <v>No Prog ni Ejec</v>
      </c>
      <c r="BN71" s="207">
        <f t="shared" si="11"/>
        <v>0</v>
      </c>
      <c r="BO71" s="207" t="str">
        <f t="shared" si="12"/>
        <v>No Prog ni Ejec</v>
      </c>
      <c r="BP71" s="206"/>
      <c r="BQ71" s="277">
        <v>10</v>
      </c>
      <c r="BR71" s="218">
        <f t="shared" si="14"/>
        <v>2.3333333333333335</v>
      </c>
      <c r="BS71" s="219" t="str">
        <f t="shared" si="29"/>
        <v xml:space="preserve">Realizar boletines con resultados del proceso de reconocimiento y pago de recobros por concepto de servicios y tecnologías no cubiertos por el plan de beneficios con cargo a la UPC </v>
      </c>
      <c r="BT71" s="195">
        <f t="shared" si="13"/>
        <v>0</v>
      </c>
      <c r="BU71" s="196"/>
      <c r="BV71" s="196"/>
      <c r="BW71" s="196"/>
      <c r="BX71" s="196"/>
      <c r="BY71" s="196"/>
      <c r="BZ71" s="19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71.25" x14ac:dyDescent="0.25">
      <c r="A72" s="197">
        <v>11500</v>
      </c>
      <c r="B72" s="194" t="s">
        <v>28</v>
      </c>
      <c r="C72" s="198" t="s">
        <v>611</v>
      </c>
      <c r="D72" s="194" t="s">
        <v>146</v>
      </c>
      <c r="E72" s="198" t="s">
        <v>537</v>
      </c>
      <c r="F72" s="194" t="s">
        <v>612</v>
      </c>
      <c r="G72" s="209" t="s">
        <v>123</v>
      </c>
      <c r="H72" s="216">
        <v>1</v>
      </c>
      <c r="I72" s="198" t="s">
        <v>538</v>
      </c>
      <c r="J72" s="194" t="s">
        <v>613</v>
      </c>
      <c r="K72" s="210">
        <v>195840000</v>
      </c>
      <c r="L72" s="216">
        <v>1</v>
      </c>
      <c r="M72" s="194" t="s">
        <v>46</v>
      </c>
      <c r="N72" s="194" t="s">
        <v>68</v>
      </c>
      <c r="O72" s="194" t="s">
        <v>21</v>
      </c>
      <c r="P72" s="194" t="s">
        <v>36</v>
      </c>
      <c r="Q72" s="194" t="s">
        <v>211</v>
      </c>
      <c r="R72" s="194" t="s">
        <v>759</v>
      </c>
      <c r="S72" s="194" t="s">
        <v>98</v>
      </c>
      <c r="T72" s="211">
        <v>1</v>
      </c>
      <c r="U72" s="212" t="str">
        <f t="shared" si="15"/>
        <v>Entregar apoyos técnicos a la OAJ en recobros y reclamaciones una vez son resueltos por la Dirección de Tecnología de la Información</v>
      </c>
      <c r="V72" s="213">
        <f t="shared" si="15"/>
        <v>195840000</v>
      </c>
      <c r="W72" s="222" t="s">
        <v>114</v>
      </c>
      <c r="X72" s="216">
        <v>0.25</v>
      </c>
      <c r="Y72" s="214" t="s">
        <v>613</v>
      </c>
      <c r="Z72" s="210">
        <v>48960000</v>
      </c>
      <c r="AA72" s="196"/>
      <c r="AB72" s="196"/>
      <c r="AC72" s="204">
        <f t="shared" si="16"/>
        <v>0</v>
      </c>
      <c r="AD72" s="204">
        <f t="shared" si="17"/>
        <v>0</v>
      </c>
      <c r="AE72" s="204">
        <f t="shared" si="0"/>
        <v>0</v>
      </c>
      <c r="AF72" s="204">
        <f t="shared" si="1"/>
        <v>0</v>
      </c>
      <c r="AG72" s="216">
        <v>0.25</v>
      </c>
      <c r="AH72" s="214" t="s">
        <v>613</v>
      </c>
      <c r="AI72" s="210">
        <v>48960000</v>
      </c>
      <c r="AJ72" s="196"/>
      <c r="AK72" s="196"/>
      <c r="AL72" s="204">
        <f t="shared" si="18"/>
        <v>0</v>
      </c>
      <c r="AM72" s="204">
        <f t="shared" si="2"/>
        <v>0</v>
      </c>
      <c r="AN72" s="204">
        <f t="shared" si="3"/>
        <v>0</v>
      </c>
      <c r="AO72" s="204">
        <f t="shared" si="4"/>
        <v>0</v>
      </c>
      <c r="AP72" s="216">
        <v>0.25</v>
      </c>
      <c r="AQ72" s="214" t="s">
        <v>613</v>
      </c>
      <c r="AR72" s="210">
        <v>48960000</v>
      </c>
      <c r="AS72" s="196"/>
      <c r="AT72" s="196"/>
      <c r="AU72" s="204">
        <f t="shared" si="19"/>
        <v>0</v>
      </c>
      <c r="AV72" s="204">
        <f t="shared" si="20"/>
        <v>0</v>
      </c>
      <c r="AW72" s="204">
        <f t="shared" si="21"/>
        <v>0</v>
      </c>
      <c r="AX72" s="204">
        <f t="shared" si="22"/>
        <v>0</v>
      </c>
      <c r="AY72" s="216">
        <v>0.25</v>
      </c>
      <c r="AZ72" s="214" t="s">
        <v>613</v>
      </c>
      <c r="BA72" s="210">
        <v>48960000</v>
      </c>
      <c r="BB72" s="196"/>
      <c r="BC72" s="196"/>
      <c r="BD72" s="216">
        <f t="shared" si="23"/>
        <v>0</v>
      </c>
      <c r="BE72" s="216">
        <f t="shared" si="24"/>
        <v>0</v>
      </c>
      <c r="BF72" s="216">
        <f t="shared" si="25"/>
        <v>0</v>
      </c>
      <c r="BG72" s="216">
        <f t="shared" si="26"/>
        <v>0</v>
      </c>
      <c r="BH72" s="228">
        <f t="shared" si="7"/>
        <v>0</v>
      </c>
      <c r="BI72" s="228">
        <f t="shared" si="8"/>
        <v>0</v>
      </c>
      <c r="BJ72" s="228">
        <f t="shared" si="9"/>
        <v>0</v>
      </c>
      <c r="BK72" s="228">
        <f t="shared" si="10"/>
        <v>0</v>
      </c>
      <c r="BL72" s="228">
        <f t="shared" si="27"/>
        <v>0</v>
      </c>
      <c r="BM72" s="228">
        <f t="shared" si="28"/>
        <v>0</v>
      </c>
      <c r="BN72" s="228">
        <f t="shared" si="11"/>
        <v>0</v>
      </c>
      <c r="BO72" s="228">
        <f t="shared" si="12"/>
        <v>0</v>
      </c>
      <c r="BP72" s="206"/>
      <c r="BQ72" s="277">
        <v>10</v>
      </c>
      <c r="BR72" s="208">
        <f t="shared" si="14"/>
        <v>0.58333333333333337</v>
      </c>
      <c r="BS72" s="219" t="str">
        <f t="shared" si="29"/>
        <v>Entregar apoyos técnicos a la OAJ en recobros y reclamaciones una vez son resueltos por la Dirección de Tecnología de la Información</v>
      </c>
      <c r="BT72" s="195">
        <f t="shared" si="13"/>
        <v>114240000</v>
      </c>
      <c r="BU72" s="196"/>
      <c r="BV72" s="196"/>
      <c r="BW72" s="196"/>
      <c r="BX72" s="196"/>
      <c r="BY72" s="196"/>
      <c r="BZ72" s="19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85.5" x14ac:dyDescent="0.25">
      <c r="A73" s="197">
        <v>11500</v>
      </c>
      <c r="B73" s="194" t="s">
        <v>28</v>
      </c>
      <c r="C73" s="198" t="s">
        <v>263</v>
      </c>
      <c r="D73" s="194" t="s">
        <v>144</v>
      </c>
      <c r="E73" s="198" t="s">
        <v>618</v>
      </c>
      <c r="F73" s="194" t="s">
        <v>614</v>
      </c>
      <c r="G73" s="209" t="s">
        <v>123</v>
      </c>
      <c r="H73" s="216">
        <v>1</v>
      </c>
      <c r="I73" s="198" t="s">
        <v>620</v>
      </c>
      <c r="J73" s="194" t="s">
        <v>615</v>
      </c>
      <c r="K73" s="210">
        <v>12240000</v>
      </c>
      <c r="L73" s="211">
        <v>1</v>
      </c>
      <c r="M73" s="194" t="s">
        <v>46</v>
      </c>
      <c r="N73" s="194" t="s">
        <v>68</v>
      </c>
      <c r="O73" s="194" t="s">
        <v>21</v>
      </c>
      <c r="P73" s="194" t="s">
        <v>36</v>
      </c>
      <c r="Q73" s="194" t="s">
        <v>211</v>
      </c>
      <c r="R73" s="194" t="s">
        <v>676</v>
      </c>
      <c r="S73" s="194" t="s">
        <v>98</v>
      </c>
      <c r="T73" s="211">
        <v>1</v>
      </c>
      <c r="U73" s="212" t="str">
        <f t="shared" si="15"/>
        <v>Pagar paquetes de reclamaciones de acuerdo con lo definido en la normativa vigente</v>
      </c>
      <c r="V73" s="213">
        <f t="shared" si="15"/>
        <v>12240000</v>
      </c>
      <c r="W73" s="222" t="s">
        <v>114</v>
      </c>
      <c r="X73" s="281">
        <v>0.25</v>
      </c>
      <c r="Y73" s="282" t="s">
        <v>615</v>
      </c>
      <c r="Z73" s="283">
        <f>+V73*X73</f>
        <v>3060000</v>
      </c>
      <c r="AA73" s="279"/>
      <c r="AB73" s="279"/>
      <c r="AC73" s="280">
        <f t="shared" si="16"/>
        <v>0</v>
      </c>
      <c r="AD73" s="280">
        <f t="shared" si="17"/>
        <v>0</v>
      </c>
      <c r="AE73" s="280">
        <f t="shared" si="0"/>
        <v>0</v>
      </c>
      <c r="AF73" s="280">
        <f t="shared" si="1"/>
        <v>0</v>
      </c>
      <c r="AG73" s="281">
        <v>0.25</v>
      </c>
      <c r="AH73" s="282" t="s">
        <v>615</v>
      </c>
      <c r="AI73" s="283">
        <v>3060000</v>
      </c>
      <c r="AJ73" s="279"/>
      <c r="AK73" s="279"/>
      <c r="AL73" s="280">
        <f t="shared" si="18"/>
        <v>0</v>
      </c>
      <c r="AM73" s="280">
        <f t="shared" si="2"/>
        <v>0</v>
      </c>
      <c r="AN73" s="280">
        <f t="shared" si="3"/>
        <v>0</v>
      </c>
      <c r="AO73" s="280">
        <f t="shared" si="4"/>
        <v>0</v>
      </c>
      <c r="AP73" s="281">
        <v>0.25</v>
      </c>
      <c r="AQ73" s="282" t="s">
        <v>615</v>
      </c>
      <c r="AR73" s="283">
        <v>3060000</v>
      </c>
      <c r="AS73" s="279"/>
      <c r="AT73" s="279"/>
      <c r="AU73" s="280">
        <f t="shared" si="19"/>
        <v>0</v>
      </c>
      <c r="AV73" s="280">
        <f t="shared" si="20"/>
        <v>0</v>
      </c>
      <c r="AW73" s="280">
        <f t="shared" si="21"/>
        <v>0</v>
      </c>
      <c r="AX73" s="280">
        <f t="shared" si="22"/>
        <v>0</v>
      </c>
      <c r="AY73" s="281">
        <v>0.25</v>
      </c>
      <c r="AZ73" s="282" t="s">
        <v>615</v>
      </c>
      <c r="BA73" s="283">
        <v>3060000</v>
      </c>
      <c r="BB73" s="279"/>
      <c r="BC73" s="279"/>
      <c r="BD73" s="281">
        <f t="shared" si="23"/>
        <v>0</v>
      </c>
      <c r="BE73" s="281">
        <f t="shared" si="24"/>
        <v>0</v>
      </c>
      <c r="BF73" s="281">
        <f t="shared" si="25"/>
        <v>0</v>
      </c>
      <c r="BG73" s="281">
        <f t="shared" si="26"/>
        <v>0</v>
      </c>
      <c r="BH73" s="205">
        <f t="shared" si="7"/>
        <v>0</v>
      </c>
      <c r="BI73" s="205">
        <f t="shared" si="8"/>
        <v>0</v>
      </c>
      <c r="BJ73" s="205">
        <f t="shared" si="9"/>
        <v>0</v>
      </c>
      <c r="BK73" s="205">
        <f t="shared" si="10"/>
        <v>0</v>
      </c>
      <c r="BL73" s="205">
        <f t="shared" si="27"/>
        <v>0</v>
      </c>
      <c r="BM73" s="205">
        <f t="shared" si="28"/>
        <v>0</v>
      </c>
      <c r="BN73" s="205">
        <f t="shared" si="11"/>
        <v>0</v>
      </c>
      <c r="BO73" s="205">
        <f t="shared" si="12"/>
        <v>0</v>
      </c>
      <c r="BP73" s="206" t="s">
        <v>717</v>
      </c>
      <c r="BQ73" s="277">
        <v>10</v>
      </c>
      <c r="BR73" s="208">
        <f t="shared" si="14"/>
        <v>0.58333333333333337</v>
      </c>
      <c r="BS73" s="219" t="str">
        <f t="shared" si="29"/>
        <v>Pagar paquetes de reclamaciones de acuerdo con lo definido en la normativa vigente</v>
      </c>
      <c r="BT73" s="195">
        <f t="shared" si="13"/>
        <v>7140000</v>
      </c>
      <c r="BU73" s="196"/>
      <c r="BV73" s="196"/>
      <c r="BW73" s="196"/>
      <c r="BX73" s="196"/>
      <c r="BY73" s="196"/>
      <c r="BZ73" s="19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71.25" x14ac:dyDescent="0.25">
      <c r="A74" s="197">
        <v>11500</v>
      </c>
      <c r="B74" s="194" t="s">
        <v>28</v>
      </c>
      <c r="C74" s="198" t="s">
        <v>263</v>
      </c>
      <c r="D74" s="194" t="s">
        <v>144</v>
      </c>
      <c r="E74" s="198" t="s">
        <v>619</v>
      </c>
      <c r="F74" s="194" t="s">
        <v>616</v>
      </c>
      <c r="G74" s="209" t="s">
        <v>384</v>
      </c>
      <c r="H74" s="229">
        <v>4</v>
      </c>
      <c r="I74" s="198" t="s">
        <v>621</v>
      </c>
      <c r="J74" s="194" t="s">
        <v>617</v>
      </c>
      <c r="K74" s="210">
        <v>0</v>
      </c>
      <c r="L74" s="211">
        <v>1</v>
      </c>
      <c r="M74" s="194" t="s">
        <v>46</v>
      </c>
      <c r="N74" s="194" t="s">
        <v>68</v>
      </c>
      <c r="O74" s="194" t="s">
        <v>21</v>
      </c>
      <c r="P74" s="194" t="s">
        <v>36</v>
      </c>
      <c r="Q74" s="194" t="s">
        <v>211</v>
      </c>
      <c r="R74" s="194" t="s">
        <v>623</v>
      </c>
      <c r="S74" s="194" t="s">
        <v>98</v>
      </c>
      <c r="T74" s="221">
        <v>4</v>
      </c>
      <c r="U74" s="212" t="str">
        <f t="shared" si="15"/>
        <v>Generar boletines con resultados del proceso reclamaciones</v>
      </c>
      <c r="V74" s="213">
        <f t="shared" si="15"/>
        <v>0</v>
      </c>
      <c r="W74" s="214" t="s">
        <v>117</v>
      </c>
      <c r="X74" s="215">
        <v>1</v>
      </c>
      <c r="Y74" s="214" t="s">
        <v>617</v>
      </c>
      <c r="Z74" s="210">
        <v>0</v>
      </c>
      <c r="AA74" s="196"/>
      <c r="AB74" s="196"/>
      <c r="AC74" s="204">
        <f t="shared" si="16"/>
        <v>0</v>
      </c>
      <c r="AD74" s="204" t="e">
        <f t="shared" si="17"/>
        <v>#DIV/0!</v>
      </c>
      <c r="AE74" s="204">
        <f t="shared" si="0"/>
        <v>0</v>
      </c>
      <c r="AF74" s="204" t="e">
        <f t="shared" si="1"/>
        <v>#DIV/0!</v>
      </c>
      <c r="AG74" s="215">
        <v>1</v>
      </c>
      <c r="AH74" s="214" t="s">
        <v>617</v>
      </c>
      <c r="AI74" s="210">
        <v>0</v>
      </c>
      <c r="AJ74" s="196"/>
      <c r="AK74" s="196"/>
      <c r="AL74" s="204">
        <f t="shared" si="18"/>
        <v>0</v>
      </c>
      <c r="AM74" s="204" t="e">
        <f t="shared" si="2"/>
        <v>#DIV/0!</v>
      </c>
      <c r="AN74" s="204">
        <f t="shared" si="3"/>
        <v>0</v>
      </c>
      <c r="AO74" s="204" t="e">
        <f t="shared" si="4"/>
        <v>#DIV/0!</v>
      </c>
      <c r="AP74" s="215">
        <v>1</v>
      </c>
      <c r="AQ74" s="214" t="s">
        <v>617</v>
      </c>
      <c r="AR74" s="210">
        <v>0</v>
      </c>
      <c r="AS74" s="196"/>
      <c r="AT74" s="196"/>
      <c r="AU74" s="204">
        <f t="shared" si="19"/>
        <v>0</v>
      </c>
      <c r="AV74" s="204" t="e">
        <f t="shared" si="20"/>
        <v>#DIV/0!</v>
      </c>
      <c r="AW74" s="204">
        <f t="shared" si="21"/>
        <v>0</v>
      </c>
      <c r="AX74" s="204" t="e">
        <f t="shared" si="22"/>
        <v>#DIV/0!</v>
      </c>
      <c r="AY74" s="215">
        <v>1</v>
      </c>
      <c r="AZ74" s="214" t="s">
        <v>617</v>
      </c>
      <c r="BA74" s="210">
        <v>0</v>
      </c>
      <c r="BB74" s="196"/>
      <c r="BC74" s="196"/>
      <c r="BD74" s="216">
        <f t="shared" si="23"/>
        <v>0</v>
      </c>
      <c r="BE74" s="216" t="e">
        <f t="shared" si="24"/>
        <v>#DIV/0!</v>
      </c>
      <c r="BF74" s="216">
        <f t="shared" si="25"/>
        <v>0</v>
      </c>
      <c r="BG74" s="216" t="e">
        <f t="shared" si="26"/>
        <v>#DIV/0!</v>
      </c>
      <c r="BH74" s="207">
        <f t="shared" si="7"/>
        <v>0</v>
      </c>
      <c r="BI74" s="207" t="str">
        <f t="shared" si="8"/>
        <v>No Prog ni Ejec</v>
      </c>
      <c r="BJ74" s="207">
        <f t="shared" si="9"/>
        <v>0</v>
      </c>
      <c r="BK74" s="207" t="str">
        <f t="shared" si="10"/>
        <v>No Prog ni Ejec</v>
      </c>
      <c r="BL74" s="207">
        <f t="shared" si="27"/>
        <v>0</v>
      </c>
      <c r="BM74" s="207" t="str">
        <f t="shared" si="28"/>
        <v>No Prog ni Ejec</v>
      </c>
      <c r="BN74" s="207">
        <f t="shared" si="11"/>
        <v>0</v>
      </c>
      <c r="BO74" s="207" t="str">
        <f t="shared" si="12"/>
        <v>No Prog ni Ejec</v>
      </c>
      <c r="BP74" s="206"/>
      <c r="BQ74" s="277">
        <v>10</v>
      </c>
      <c r="BR74" s="218">
        <f t="shared" si="14"/>
        <v>2.3333333333333335</v>
      </c>
      <c r="BS74" s="219" t="str">
        <f t="shared" si="29"/>
        <v>Generar boletines con resultados del proceso reclamaciones</v>
      </c>
      <c r="BT74" s="195">
        <f t="shared" ref="BT74:BT137" si="30">+(Z74+AI74+(AR74/3))</f>
        <v>0</v>
      </c>
      <c r="BU74" s="196"/>
      <c r="BV74" s="196"/>
      <c r="BW74" s="196"/>
      <c r="BX74" s="196"/>
      <c r="BY74" s="196"/>
      <c r="BZ74" s="19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7" x14ac:dyDescent="0.25">
      <c r="A75" s="197">
        <v>11600</v>
      </c>
      <c r="B75" s="194" t="s">
        <v>6</v>
      </c>
      <c r="C75" s="198" t="s">
        <v>266</v>
      </c>
      <c r="D75" s="194" t="s">
        <v>153</v>
      </c>
      <c r="E75" s="198" t="s">
        <v>268</v>
      </c>
      <c r="F75" s="194" t="s">
        <v>133</v>
      </c>
      <c r="G75" s="209" t="s">
        <v>124</v>
      </c>
      <c r="H75" s="198">
        <v>4</v>
      </c>
      <c r="I75" s="198" t="s">
        <v>271</v>
      </c>
      <c r="J75" s="194" t="s">
        <v>24</v>
      </c>
      <c r="K75" s="210">
        <v>0</v>
      </c>
      <c r="L75" s="211">
        <v>1</v>
      </c>
      <c r="M75" s="194" t="s">
        <v>51</v>
      </c>
      <c r="N75" s="194" t="s">
        <v>68</v>
      </c>
      <c r="O75" s="194" t="s">
        <v>21</v>
      </c>
      <c r="P75" s="194" t="s">
        <v>36</v>
      </c>
      <c r="Q75" s="194" t="s">
        <v>75</v>
      </c>
      <c r="R75" s="194" t="s">
        <v>631</v>
      </c>
      <c r="S75" s="194" t="s">
        <v>98</v>
      </c>
      <c r="T75" s="198">
        <v>4</v>
      </c>
      <c r="U75" s="212" t="str">
        <f t="shared" si="15"/>
        <v>Reportar el cumplimiento del Plan de Acción de la Dependencia</v>
      </c>
      <c r="V75" s="213">
        <f t="shared" si="15"/>
        <v>0</v>
      </c>
      <c r="W75" s="214" t="s">
        <v>117</v>
      </c>
      <c r="X75" s="215">
        <v>1</v>
      </c>
      <c r="Y75" s="214" t="s">
        <v>24</v>
      </c>
      <c r="Z75" s="210">
        <v>0</v>
      </c>
      <c r="AA75" s="196"/>
      <c r="AB75" s="196"/>
      <c r="AC75" s="204">
        <f t="shared" si="16"/>
        <v>0</v>
      </c>
      <c r="AD75" s="204" t="e">
        <f t="shared" si="17"/>
        <v>#DIV/0!</v>
      </c>
      <c r="AE75" s="204">
        <f t="shared" ref="AE75:AE140" si="31">+(AA75/T75)</f>
        <v>0</v>
      </c>
      <c r="AF75" s="204" t="e">
        <f t="shared" ref="AF75:AF140" si="32">+(AB75/V75)</f>
        <v>#DIV/0!</v>
      </c>
      <c r="AG75" s="215">
        <v>1</v>
      </c>
      <c r="AH75" s="214" t="s">
        <v>24</v>
      </c>
      <c r="AI75" s="210">
        <v>0</v>
      </c>
      <c r="AJ75" s="196"/>
      <c r="AK75" s="196"/>
      <c r="AL75" s="204">
        <f t="shared" si="18"/>
        <v>0</v>
      </c>
      <c r="AM75" s="204" t="e">
        <f t="shared" ref="AM75:AM140" si="33">+(AK75/AI75)</f>
        <v>#DIV/0!</v>
      </c>
      <c r="AN75" s="204">
        <f t="shared" ref="AN75:AN140" si="34">+(AJ75+AA75)/T75</f>
        <v>0</v>
      </c>
      <c r="AO75" s="204" t="e">
        <f t="shared" ref="AO75:AO140" si="35">+(AK75+AB75)/V75</f>
        <v>#DIV/0!</v>
      </c>
      <c r="AP75" s="215">
        <v>1</v>
      </c>
      <c r="AQ75" s="214" t="s">
        <v>24</v>
      </c>
      <c r="AR75" s="210">
        <v>0</v>
      </c>
      <c r="AS75" s="196"/>
      <c r="AT75" s="196"/>
      <c r="AU75" s="204">
        <f t="shared" si="19"/>
        <v>0</v>
      </c>
      <c r="AV75" s="204" t="e">
        <f t="shared" si="20"/>
        <v>#DIV/0!</v>
      </c>
      <c r="AW75" s="204">
        <f t="shared" si="21"/>
        <v>0</v>
      </c>
      <c r="AX75" s="204" t="e">
        <f t="shared" si="22"/>
        <v>#DIV/0!</v>
      </c>
      <c r="AY75" s="215">
        <v>1</v>
      </c>
      <c r="AZ75" s="214" t="s">
        <v>24</v>
      </c>
      <c r="BA75" s="210">
        <v>0</v>
      </c>
      <c r="BB75" s="196"/>
      <c r="BC75" s="196"/>
      <c r="BD75" s="216">
        <f t="shared" si="23"/>
        <v>0</v>
      </c>
      <c r="BE75" s="216" t="e">
        <f t="shared" si="24"/>
        <v>#DIV/0!</v>
      </c>
      <c r="BF75" s="216">
        <f t="shared" si="25"/>
        <v>0</v>
      </c>
      <c r="BG75" s="216" t="e">
        <f t="shared" si="26"/>
        <v>#DIV/0!</v>
      </c>
      <c r="BH75" s="217">
        <f t="shared" ref="BH75:BH140" si="36">IF(AND(X75=0,AA75=0),"No Prog ni Ejec",IF(X75=0,CONCATENATE("No Prog, Ejec=  ",AA75),AA75/X75))</f>
        <v>0</v>
      </c>
      <c r="BI75" s="217" t="str">
        <f t="shared" ref="BI75:BI140" si="37">IF(AND(Z75=0,AB75=0),"No Prog ni Ejec",IF(Z75=0,CONCATENATE("No Prog, Ejec=  ",AB75),AB75/Z75))</f>
        <v>No Prog ni Ejec</v>
      </c>
      <c r="BJ75" s="217">
        <f t="shared" ref="BJ75:BJ140" si="38">IF(AND(AG75=0,AJ75=0),"No Prog ni Ejec",IF(AG75=0,CONCATENATE("No Prog, Ejec=  ",AJ75),AJ75/AG75))</f>
        <v>0</v>
      </c>
      <c r="BK75" s="217" t="str">
        <f t="shared" ref="BK75:BK140" si="39">IF(AND(AI75=0,AK75=0),"No Prog ni Ejec",IF(AI75=0,CONCATENATE("No Prog, Ejec=  ",AK75),AK75/AI75))</f>
        <v>No Prog ni Ejec</v>
      </c>
      <c r="BL75" s="217">
        <f t="shared" si="27"/>
        <v>0</v>
      </c>
      <c r="BM75" s="217" t="str">
        <f t="shared" si="28"/>
        <v>No Prog ni Ejec</v>
      </c>
      <c r="BN75" s="217">
        <f t="shared" ref="BN75:BN140" si="40">IF(AND(AY75=0,BB75=0),"No Prog ni Ejec",IF(AY75=0,CONCATENATE("No Prog, Ejec=  ",BB75),BB75/AY75))</f>
        <v>0</v>
      </c>
      <c r="BO75" s="217" t="str">
        <f t="shared" ref="BO75:BO140" si="41">IF(AND(BA75=0,BC75=0),"No Prog ni Ejec",IF(BA75=0,CONCATENATE("No Prog, Ejec=  ",BC75),BC75/BA75))</f>
        <v>No Prog ni Ejec</v>
      </c>
      <c r="BP75" s="206"/>
      <c r="BQ75" s="277">
        <v>5</v>
      </c>
      <c r="BR75" s="218">
        <f t="shared" ref="BR75:BR138" si="42">+(X75+AG75+(AP75/3))</f>
        <v>2.3333333333333335</v>
      </c>
      <c r="BS75" s="219" t="str">
        <f t="shared" si="29"/>
        <v>Reportar el cumplimiento del Plan de Acción de la Dependencia</v>
      </c>
      <c r="BT75" s="195">
        <f t="shared" si="30"/>
        <v>0</v>
      </c>
      <c r="BU75" s="196"/>
      <c r="BV75" s="196"/>
      <c r="BW75" s="196"/>
      <c r="BX75" s="196"/>
      <c r="BY75" s="196"/>
      <c r="BZ75" s="19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99.75" x14ac:dyDescent="0.25">
      <c r="A76" s="197">
        <v>11600</v>
      </c>
      <c r="B76" s="194" t="s">
        <v>6</v>
      </c>
      <c r="C76" s="198" t="s">
        <v>267</v>
      </c>
      <c r="D76" s="194" t="s">
        <v>256</v>
      </c>
      <c r="E76" s="198" t="s">
        <v>269</v>
      </c>
      <c r="F76" s="194" t="s">
        <v>159</v>
      </c>
      <c r="G76" s="209" t="s">
        <v>123</v>
      </c>
      <c r="H76" s="216">
        <v>1</v>
      </c>
      <c r="I76" s="198" t="s">
        <v>272</v>
      </c>
      <c r="J76" s="194" t="s">
        <v>598</v>
      </c>
      <c r="K76" s="210">
        <v>0</v>
      </c>
      <c r="L76" s="211">
        <v>1</v>
      </c>
      <c r="M76" s="194" t="s">
        <v>51</v>
      </c>
      <c r="N76" s="194" t="s">
        <v>68</v>
      </c>
      <c r="O76" s="194" t="s">
        <v>21</v>
      </c>
      <c r="P76" s="194" t="s">
        <v>36</v>
      </c>
      <c r="Q76" s="194" t="s">
        <v>75</v>
      </c>
      <c r="R76" s="194" t="s">
        <v>632</v>
      </c>
      <c r="S76" s="194" t="s">
        <v>98</v>
      </c>
      <c r="T76" s="211">
        <v>1</v>
      </c>
      <c r="U76" s="212" t="str">
        <f t="shared" ref="U76:V141" si="43">+J76</f>
        <v>Formular los procesos y procedimientos en el marco del MIPG</v>
      </c>
      <c r="V76" s="213">
        <f t="shared" si="43"/>
        <v>0</v>
      </c>
      <c r="W76" s="214" t="s">
        <v>117</v>
      </c>
      <c r="X76" s="216">
        <v>0.25</v>
      </c>
      <c r="Y76" s="214" t="s">
        <v>598</v>
      </c>
      <c r="Z76" s="210">
        <v>0</v>
      </c>
      <c r="AA76" s="196"/>
      <c r="AB76" s="196"/>
      <c r="AC76" s="204">
        <f t="shared" ref="AC76:AC141" si="44">+(AA76/X76)</f>
        <v>0</v>
      </c>
      <c r="AD76" s="204" t="e">
        <f t="shared" ref="AD76:AD141" si="45">+(AB76/Z76)</f>
        <v>#DIV/0!</v>
      </c>
      <c r="AE76" s="204">
        <f t="shared" si="31"/>
        <v>0</v>
      </c>
      <c r="AF76" s="204" t="e">
        <f t="shared" si="32"/>
        <v>#DIV/0!</v>
      </c>
      <c r="AG76" s="216">
        <v>0.25</v>
      </c>
      <c r="AH76" s="214" t="s">
        <v>598</v>
      </c>
      <c r="AI76" s="210">
        <v>0</v>
      </c>
      <c r="AJ76" s="196"/>
      <c r="AK76" s="196"/>
      <c r="AL76" s="204">
        <f t="shared" ref="AL76:AL141" si="46">+(AJ76/AG76)</f>
        <v>0</v>
      </c>
      <c r="AM76" s="204" t="e">
        <f t="shared" si="33"/>
        <v>#DIV/0!</v>
      </c>
      <c r="AN76" s="204">
        <f t="shared" si="34"/>
        <v>0</v>
      </c>
      <c r="AO76" s="204" t="e">
        <f t="shared" si="35"/>
        <v>#DIV/0!</v>
      </c>
      <c r="AP76" s="216">
        <v>0.25</v>
      </c>
      <c r="AQ76" s="214" t="s">
        <v>598</v>
      </c>
      <c r="AR76" s="210">
        <v>0</v>
      </c>
      <c r="AS76" s="196"/>
      <c r="AT76" s="196"/>
      <c r="AU76" s="204">
        <f t="shared" ref="AU76:AU141" si="47">+(AS76/AP76)</f>
        <v>0</v>
      </c>
      <c r="AV76" s="204" t="e">
        <f t="shared" ref="AV76:AV141" si="48">+(AT76/AR76)</f>
        <v>#DIV/0!</v>
      </c>
      <c r="AW76" s="204">
        <f t="shared" ref="AW76:AW141" si="49">+(AJ76+AA76+AS76)/T76</f>
        <v>0</v>
      </c>
      <c r="AX76" s="204" t="e">
        <f t="shared" ref="AX76:AX141" si="50">+(AK76+AB76+AT76)/V76</f>
        <v>#DIV/0!</v>
      </c>
      <c r="AY76" s="216">
        <v>0.25</v>
      </c>
      <c r="AZ76" s="214" t="s">
        <v>598</v>
      </c>
      <c r="BA76" s="210">
        <v>0</v>
      </c>
      <c r="BB76" s="196"/>
      <c r="BC76" s="196"/>
      <c r="BD76" s="216">
        <f t="shared" ref="BD76:BD141" si="51">+(BB76/AY76)</f>
        <v>0</v>
      </c>
      <c r="BE76" s="216" t="e">
        <f t="shared" ref="BE76:BE141" si="52">+(BC76/BA76)</f>
        <v>#DIV/0!</v>
      </c>
      <c r="BF76" s="216">
        <f t="shared" ref="BF76:BF141" si="53">+(AJ76+AA76+AS76+BB76)/T76</f>
        <v>0</v>
      </c>
      <c r="BG76" s="216" t="e">
        <f t="shared" ref="BG76:BG141" si="54">+(AK76+AB76+AT76+BC76)/V76</f>
        <v>#DIV/0!</v>
      </c>
      <c r="BH76" s="217">
        <f t="shared" si="36"/>
        <v>0</v>
      </c>
      <c r="BI76" s="217" t="str">
        <f t="shared" si="37"/>
        <v>No Prog ni Ejec</v>
      </c>
      <c r="BJ76" s="217">
        <f t="shared" si="38"/>
        <v>0</v>
      </c>
      <c r="BK76" s="217" t="str">
        <f t="shared" si="39"/>
        <v>No Prog ni Ejec</v>
      </c>
      <c r="BL76" s="217">
        <f t="shared" ref="BL76:BL141" si="55">IF(AND(AP76=0,AS76=0),"No Prog ni Ejec",IF(AP76=0,CONCATENATE("No Prog, Ejec=  ",AS76),AS76/AP76))</f>
        <v>0</v>
      </c>
      <c r="BM76" s="217" t="str">
        <f t="shared" ref="BM76:BM141" si="56">IF(AND(AR76=0,AT76=0),"No Prog ni Ejec",IF(AR76=0,CONCATENATE("No Prog, Ejec=  ",AT76),AT76/AR76))</f>
        <v>No Prog ni Ejec</v>
      </c>
      <c r="BN76" s="217">
        <f t="shared" si="40"/>
        <v>0</v>
      </c>
      <c r="BO76" s="217" t="str">
        <f t="shared" si="41"/>
        <v>No Prog ni Ejec</v>
      </c>
      <c r="BP76" s="206"/>
      <c r="BQ76" s="277">
        <v>5</v>
      </c>
      <c r="BR76" s="208">
        <f t="shared" si="42"/>
        <v>0.58333333333333337</v>
      </c>
      <c r="BS76" s="219" t="str">
        <f t="shared" si="29"/>
        <v>Formular los procesos y procedimientos en el marco del MIPG</v>
      </c>
      <c r="BT76" s="195">
        <f t="shared" si="30"/>
        <v>0</v>
      </c>
      <c r="BU76" s="196"/>
      <c r="BV76" s="196"/>
      <c r="BW76" s="196"/>
      <c r="BX76" s="196"/>
      <c r="BY76" s="196"/>
      <c r="BZ76" s="19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99.75" x14ac:dyDescent="0.25">
      <c r="A77" s="197">
        <v>11600</v>
      </c>
      <c r="B77" s="194" t="s">
        <v>6</v>
      </c>
      <c r="C77" s="198" t="s">
        <v>267</v>
      </c>
      <c r="D77" s="194" t="s">
        <v>256</v>
      </c>
      <c r="E77" s="198" t="s">
        <v>270</v>
      </c>
      <c r="F77" s="194" t="s">
        <v>127</v>
      </c>
      <c r="G77" s="209" t="s">
        <v>124</v>
      </c>
      <c r="H77" s="198">
        <v>4</v>
      </c>
      <c r="I77" s="198" t="s">
        <v>273</v>
      </c>
      <c r="J77" s="194" t="s">
        <v>128</v>
      </c>
      <c r="K77" s="210">
        <v>0</v>
      </c>
      <c r="L77" s="211">
        <v>1</v>
      </c>
      <c r="M77" s="194" t="s">
        <v>51</v>
      </c>
      <c r="N77" s="194" t="s">
        <v>68</v>
      </c>
      <c r="O77" s="194" t="s">
        <v>21</v>
      </c>
      <c r="P77" s="194" t="s">
        <v>36</v>
      </c>
      <c r="Q77" s="194" t="s">
        <v>75</v>
      </c>
      <c r="R77" s="194" t="s">
        <v>137</v>
      </c>
      <c r="S77" s="194" t="s">
        <v>98</v>
      </c>
      <c r="T77" s="198">
        <v>4</v>
      </c>
      <c r="U77" s="212" t="str">
        <f t="shared" si="43"/>
        <v>Remitir informes trimestrales de los indicadores formulados y las acciones de mejoras</v>
      </c>
      <c r="V77" s="213">
        <f t="shared" si="43"/>
        <v>0</v>
      </c>
      <c r="W77" s="214" t="s">
        <v>117</v>
      </c>
      <c r="X77" s="215">
        <v>1</v>
      </c>
      <c r="Y77" s="214" t="s">
        <v>128</v>
      </c>
      <c r="Z77" s="210">
        <v>0</v>
      </c>
      <c r="AA77" s="196"/>
      <c r="AB77" s="196"/>
      <c r="AC77" s="204">
        <f t="shared" si="44"/>
        <v>0</v>
      </c>
      <c r="AD77" s="204" t="e">
        <f t="shared" si="45"/>
        <v>#DIV/0!</v>
      </c>
      <c r="AE77" s="204">
        <f t="shared" si="31"/>
        <v>0</v>
      </c>
      <c r="AF77" s="204" t="e">
        <f t="shared" si="32"/>
        <v>#DIV/0!</v>
      </c>
      <c r="AG77" s="215">
        <v>1</v>
      </c>
      <c r="AH77" s="214" t="s">
        <v>128</v>
      </c>
      <c r="AI77" s="210">
        <v>0</v>
      </c>
      <c r="AJ77" s="196"/>
      <c r="AK77" s="196"/>
      <c r="AL77" s="204">
        <f t="shared" si="46"/>
        <v>0</v>
      </c>
      <c r="AM77" s="204" t="e">
        <f t="shared" si="33"/>
        <v>#DIV/0!</v>
      </c>
      <c r="AN77" s="204">
        <f t="shared" si="34"/>
        <v>0</v>
      </c>
      <c r="AO77" s="204" t="e">
        <f t="shared" si="35"/>
        <v>#DIV/0!</v>
      </c>
      <c r="AP77" s="215">
        <v>1</v>
      </c>
      <c r="AQ77" s="214" t="s">
        <v>128</v>
      </c>
      <c r="AR77" s="210">
        <v>0</v>
      </c>
      <c r="AS77" s="196"/>
      <c r="AT77" s="196"/>
      <c r="AU77" s="204">
        <f t="shared" si="47"/>
        <v>0</v>
      </c>
      <c r="AV77" s="204" t="e">
        <f t="shared" si="48"/>
        <v>#DIV/0!</v>
      </c>
      <c r="AW77" s="204">
        <f t="shared" si="49"/>
        <v>0</v>
      </c>
      <c r="AX77" s="204" t="e">
        <f t="shared" si="50"/>
        <v>#DIV/0!</v>
      </c>
      <c r="AY77" s="215">
        <v>1</v>
      </c>
      <c r="AZ77" s="214" t="s">
        <v>128</v>
      </c>
      <c r="BA77" s="210">
        <v>0</v>
      </c>
      <c r="BB77" s="196"/>
      <c r="BC77" s="196"/>
      <c r="BD77" s="216">
        <f t="shared" si="51"/>
        <v>0</v>
      </c>
      <c r="BE77" s="216" t="e">
        <f t="shared" si="52"/>
        <v>#DIV/0!</v>
      </c>
      <c r="BF77" s="216">
        <f t="shared" si="53"/>
        <v>0</v>
      </c>
      <c r="BG77" s="216" t="e">
        <f t="shared" si="54"/>
        <v>#DIV/0!</v>
      </c>
      <c r="BH77" s="217">
        <f t="shared" si="36"/>
        <v>0</v>
      </c>
      <c r="BI77" s="217" t="str">
        <f t="shared" si="37"/>
        <v>No Prog ni Ejec</v>
      </c>
      <c r="BJ77" s="217">
        <f t="shared" si="38"/>
        <v>0</v>
      </c>
      <c r="BK77" s="217" t="str">
        <f t="shared" si="39"/>
        <v>No Prog ni Ejec</v>
      </c>
      <c r="BL77" s="217">
        <f t="shared" si="55"/>
        <v>0</v>
      </c>
      <c r="BM77" s="217" t="str">
        <f t="shared" si="56"/>
        <v>No Prog ni Ejec</v>
      </c>
      <c r="BN77" s="217">
        <f t="shared" si="40"/>
        <v>0</v>
      </c>
      <c r="BO77" s="217" t="str">
        <f t="shared" si="41"/>
        <v>No Prog ni Ejec</v>
      </c>
      <c r="BP77" s="206"/>
      <c r="BQ77" s="277">
        <v>5</v>
      </c>
      <c r="BR77" s="218">
        <f t="shared" si="42"/>
        <v>2.3333333333333335</v>
      </c>
      <c r="BS77" s="219" t="str">
        <f t="shared" si="29"/>
        <v>Remitir informes trimestrales de los indicadores formulados y las acciones de mejoras</v>
      </c>
      <c r="BT77" s="195">
        <f t="shared" si="30"/>
        <v>0</v>
      </c>
      <c r="BU77" s="196"/>
      <c r="BV77" s="196"/>
      <c r="BW77" s="196"/>
      <c r="BX77" s="196"/>
      <c r="BY77" s="196"/>
      <c r="BZ77" s="19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7" x14ac:dyDescent="0.25">
      <c r="A78" s="197">
        <v>11600</v>
      </c>
      <c r="B78" s="194" t="s">
        <v>6</v>
      </c>
      <c r="C78" s="198" t="s">
        <v>278</v>
      </c>
      <c r="D78" s="194" t="s">
        <v>147</v>
      </c>
      <c r="E78" s="198" t="s">
        <v>279</v>
      </c>
      <c r="F78" s="194" t="s">
        <v>277</v>
      </c>
      <c r="G78" s="209" t="s">
        <v>124</v>
      </c>
      <c r="H78" s="198">
        <v>1</v>
      </c>
      <c r="I78" s="198" t="s">
        <v>282</v>
      </c>
      <c r="J78" s="194" t="s">
        <v>280</v>
      </c>
      <c r="K78" s="210">
        <v>0</v>
      </c>
      <c r="L78" s="211">
        <v>1</v>
      </c>
      <c r="M78" s="194" t="s">
        <v>46</v>
      </c>
      <c r="N78" s="194" t="s">
        <v>73</v>
      </c>
      <c r="O78" s="194" t="s">
        <v>37</v>
      </c>
      <c r="P78" s="194" t="s">
        <v>40</v>
      </c>
      <c r="Q78" s="194" t="s">
        <v>228</v>
      </c>
      <c r="R78" s="194" t="s">
        <v>633</v>
      </c>
      <c r="S78" s="194" t="s">
        <v>99</v>
      </c>
      <c r="T78" s="198">
        <v>1</v>
      </c>
      <c r="U78" s="212" t="str">
        <f t="shared" si="43"/>
        <v>Desarrollo e implementación del PETI</v>
      </c>
      <c r="V78" s="213">
        <f t="shared" si="43"/>
        <v>0</v>
      </c>
      <c r="W78" s="214" t="s">
        <v>117</v>
      </c>
      <c r="X78" s="284">
        <v>0</v>
      </c>
      <c r="Y78" s="282" t="s">
        <v>280</v>
      </c>
      <c r="Z78" s="283">
        <v>0</v>
      </c>
      <c r="AA78" s="279"/>
      <c r="AB78" s="279"/>
      <c r="AC78" s="280" t="e">
        <f t="shared" si="44"/>
        <v>#DIV/0!</v>
      </c>
      <c r="AD78" s="280" t="e">
        <f t="shared" si="45"/>
        <v>#DIV/0!</v>
      </c>
      <c r="AE78" s="280">
        <f t="shared" si="31"/>
        <v>0</v>
      </c>
      <c r="AF78" s="280" t="e">
        <f t="shared" si="32"/>
        <v>#DIV/0!</v>
      </c>
      <c r="AG78" s="284">
        <v>1</v>
      </c>
      <c r="AH78" s="282" t="s">
        <v>280</v>
      </c>
      <c r="AI78" s="283">
        <v>0</v>
      </c>
      <c r="AJ78" s="279"/>
      <c r="AK78" s="279"/>
      <c r="AL78" s="280">
        <f t="shared" si="46"/>
        <v>0</v>
      </c>
      <c r="AM78" s="280" t="e">
        <f t="shared" si="33"/>
        <v>#DIV/0!</v>
      </c>
      <c r="AN78" s="280">
        <f t="shared" si="34"/>
        <v>0</v>
      </c>
      <c r="AO78" s="280" t="e">
        <f t="shared" si="35"/>
        <v>#DIV/0!</v>
      </c>
      <c r="AP78" s="284">
        <v>0</v>
      </c>
      <c r="AQ78" s="282" t="s">
        <v>280</v>
      </c>
      <c r="AR78" s="283">
        <v>0</v>
      </c>
      <c r="AS78" s="279"/>
      <c r="AT78" s="279"/>
      <c r="AU78" s="280" t="e">
        <f t="shared" si="47"/>
        <v>#DIV/0!</v>
      </c>
      <c r="AV78" s="280" t="e">
        <f t="shared" si="48"/>
        <v>#DIV/0!</v>
      </c>
      <c r="AW78" s="280">
        <f t="shared" si="49"/>
        <v>0</v>
      </c>
      <c r="AX78" s="280" t="e">
        <f t="shared" si="50"/>
        <v>#DIV/0!</v>
      </c>
      <c r="AY78" s="284">
        <v>0</v>
      </c>
      <c r="AZ78" s="282" t="s">
        <v>280</v>
      </c>
      <c r="BA78" s="283">
        <v>0</v>
      </c>
      <c r="BB78" s="279"/>
      <c r="BC78" s="279"/>
      <c r="BD78" s="281" t="e">
        <f t="shared" si="51"/>
        <v>#DIV/0!</v>
      </c>
      <c r="BE78" s="281" t="e">
        <f t="shared" si="52"/>
        <v>#DIV/0!</v>
      </c>
      <c r="BF78" s="281">
        <f t="shared" si="53"/>
        <v>0</v>
      </c>
      <c r="BG78" s="281" t="e">
        <f t="shared" si="54"/>
        <v>#DIV/0!</v>
      </c>
      <c r="BH78" s="205" t="str">
        <f t="shared" si="36"/>
        <v>No Prog ni Ejec</v>
      </c>
      <c r="BI78" s="205" t="str">
        <f t="shared" si="37"/>
        <v>No Prog ni Ejec</v>
      </c>
      <c r="BJ78" s="205">
        <f t="shared" si="38"/>
        <v>0</v>
      </c>
      <c r="BK78" s="205" t="str">
        <f t="shared" si="39"/>
        <v>No Prog ni Ejec</v>
      </c>
      <c r="BL78" s="205" t="str">
        <f t="shared" si="55"/>
        <v>No Prog ni Ejec</v>
      </c>
      <c r="BM78" s="205" t="str">
        <f t="shared" si="56"/>
        <v>No Prog ni Ejec</v>
      </c>
      <c r="BN78" s="205" t="str">
        <f t="shared" si="40"/>
        <v>No Prog ni Ejec</v>
      </c>
      <c r="BO78" s="205" t="str">
        <f t="shared" si="41"/>
        <v>No Prog ni Ejec</v>
      </c>
      <c r="BP78" s="206"/>
      <c r="BQ78" s="277">
        <v>4</v>
      </c>
      <c r="BR78" s="218">
        <f t="shared" si="42"/>
        <v>1</v>
      </c>
      <c r="BS78" s="219" t="str">
        <f t="shared" si="29"/>
        <v>Desarrollo e implementación del PETI</v>
      </c>
      <c r="BT78" s="195">
        <f t="shared" si="30"/>
        <v>0</v>
      </c>
      <c r="BU78" s="196"/>
      <c r="BV78" s="196"/>
      <c r="BW78" s="196"/>
      <c r="BX78" s="196"/>
      <c r="BY78" s="196"/>
      <c r="BZ78" s="19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42.5" x14ac:dyDescent="0.25">
      <c r="A79" s="197">
        <v>11600</v>
      </c>
      <c r="B79" s="194" t="s">
        <v>6</v>
      </c>
      <c r="C79" s="198" t="s">
        <v>278</v>
      </c>
      <c r="D79" s="194" t="s">
        <v>147</v>
      </c>
      <c r="E79" s="198" t="s">
        <v>513</v>
      </c>
      <c r="F79" s="194" t="s">
        <v>283</v>
      </c>
      <c r="G79" s="209" t="s">
        <v>123</v>
      </c>
      <c r="H79" s="216">
        <v>1</v>
      </c>
      <c r="I79" s="198" t="s">
        <v>514</v>
      </c>
      <c r="J79" s="194" t="s">
        <v>281</v>
      </c>
      <c r="K79" s="210">
        <v>5073602759</v>
      </c>
      <c r="L79" s="211">
        <v>1</v>
      </c>
      <c r="M79" s="194" t="s">
        <v>46</v>
      </c>
      <c r="N79" s="194" t="s">
        <v>73</v>
      </c>
      <c r="O79" s="194" t="s">
        <v>37</v>
      </c>
      <c r="P79" s="194" t="s">
        <v>40</v>
      </c>
      <c r="Q79" s="194" t="s">
        <v>228</v>
      </c>
      <c r="R79" s="194" t="s">
        <v>634</v>
      </c>
      <c r="S79" s="194" t="s">
        <v>99</v>
      </c>
      <c r="T79" s="211">
        <v>1</v>
      </c>
      <c r="U79" s="212" t="str">
        <f t="shared" si="43"/>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13">
        <f t="shared" si="43"/>
        <v>5073602759</v>
      </c>
      <c r="W79" s="222" t="s">
        <v>114</v>
      </c>
      <c r="X79" s="281">
        <v>0.13219897304087358</v>
      </c>
      <c r="Y79" s="282" t="s">
        <v>281</v>
      </c>
      <c r="Z79" s="283">
        <v>670725074.35714281</v>
      </c>
      <c r="AA79" s="279"/>
      <c r="AB79" s="279"/>
      <c r="AC79" s="280">
        <f t="shared" si="44"/>
        <v>0</v>
      </c>
      <c r="AD79" s="280">
        <f t="shared" si="45"/>
        <v>0</v>
      </c>
      <c r="AE79" s="280">
        <f t="shared" si="31"/>
        <v>0</v>
      </c>
      <c r="AF79" s="280">
        <f t="shared" si="32"/>
        <v>0</v>
      </c>
      <c r="AG79" s="281">
        <v>0.15915595257019777</v>
      </c>
      <c r="AH79" s="282" t="s">
        <v>281</v>
      </c>
      <c r="AI79" s="283">
        <v>807494080.07142854</v>
      </c>
      <c r="AJ79" s="279"/>
      <c r="AK79" s="279"/>
      <c r="AL79" s="280">
        <f t="shared" si="46"/>
        <v>0</v>
      </c>
      <c r="AM79" s="280">
        <f t="shared" si="33"/>
        <v>0</v>
      </c>
      <c r="AN79" s="280">
        <f t="shared" si="34"/>
        <v>0</v>
      </c>
      <c r="AO79" s="280">
        <f t="shared" si="35"/>
        <v>0</v>
      </c>
      <c r="AP79" s="281">
        <v>0.32737162236934764</v>
      </c>
      <c r="AQ79" s="282" t="s">
        <v>281</v>
      </c>
      <c r="AR79" s="283">
        <v>1660953566.4714284</v>
      </c>
      <c r="AS79" s="279"/>
      <c r="AT79" s="279"/>
      <c r="AU79" s="280">
        <f t="shared" si="47"/>
        <v>0</v>
      </c>
      <c r="AV79" s="280">
        <f t="shared" si="48"/>
        <v>0</v>
      </c>
      <c r="AW79" s="280">
        <f t="shared" si="49"/>
        <v>0</v>
      </c>
      <c r="AX79" s="280">
        <f t="shared" si="50"/>
        <v>0</v>
      </c>
      <c r="AY79" s="281">
        <v>0.38127345201958091</v>
      </c>
      <c r="AZ79" s="282" t="s">
        <v>281</v>
      </c>
      <c r="BA79" s="283">
        <v>1934430038.0999999</v>
      </c>
      <c r="BB79" s="279"/>
      <c r="BC79" s="279"/>
      <c r="BD79" s="281">
        <f t="shared" si="51"/>
        <v>0</v>
      </c>
      <c r="BE79" s="281">
        <f t="shared" si="52"/>
        <v>0</v>
      </c>
      <c r="BF79" s="281">
        <f t="shared" si="53"/>
        <v>0</v>
      </c>
      <c r="BG79" s="281">
        <f t="shared" si="54"/>
        <v>0</v>
      </c>
      <c r="BH79" s="205">
        <f t="shared" si="36"/>
        <v>0</v>
      </c>
      <c r="BI79" s="205">
        <f t="shared" si="37"/>
        <v>0</v>
      </c>
      <c r="BJ79" s="205">
        <f t="shared" si="38"/>
        <v>0</v>
      </c>
      <c r="BK79" s="205">
        <f t="shared" si="39"/>
        <v>0</v>
      </c>
      <c r="BL79" s="205">
        <f t="shared" si="55"/>
        <v>0</v>
      </c>
      <c r="BM79" s="205">
        <f t="shared" si="56"/>
        <v>0</v>
      </c>
      <c r="BN79" s="205">
        <f t="shared" si="40"/>
        <v>0</v>
      </c>
      <c r="BO79" s="205">
        <f t="shared" si="41"/>
        <v>0</v>
      </c>
      <c r="BP79" s="206"/>
      <c r="BQ79" s="277">
        <v>4</v>
      </c>
      <c r="BR79" s="208">
        <f t="shared" si="42"/>
        <v>0.40047879973418721</v>
      </c>
      <c r="BS79" s="219" t="str">
        <f t="shared" ref="BS79:BS142" si="57">+U79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195">
        <f t="shared" si="30"/>
        <v>2031870343.2523808</v>
      </c>
      <c r="BU79" s="196"/>
      <c r="BV79" s="196"/>
      <c r="BW79" s="196"/>
      <c r="BX79" s="196"/>
      <c r="BY79" s="196"/>
      <c r="BZ79" s="19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71.25" x14ac:dyDescent="0.25">
      <c r="A80" s="197">
        <v>11600</v>
      </c>
      <c r="B80" s="194" t="s">
        <v>6</v>
      </c>
      <c r="C80" s="198" t="s">
        <v>278</v>
      </c>
      <c r="D80" s="194" t="s">
        <v>147</v>
      </c>
      <c r="E80" s="198" t="s">
        <v>516</v>
      </c>
      <c r="F80" s="194" t="s">
        <v>285</v>
      </c>
      <c r="G80" s="209" t="s">
        <v>123</v>
      </c>
      <c r="H80" s="216">
        <v>1</v>
      </c>
      <c r="I80" s="198" t="s">
        <v>517</v>
      </c>
      <c r="J80" s="194" t="s">
        <v>284</v>
      </c>
      <c r="K80" s="210">
        <v>1024732093</v>
      </c>
      <c r="L80" s="211">
        <v>1</v>
      </c>
      <c r="M80" s="194" t="s">
        <v>46</v>
      </c>
      <c r="N80" s="194" t="s">
        <v>73</v>
      </c>
      <c r="O80" s="194" t="s">
        <v>37</v>
      </c>
      <c r="P80" s="194" t="s">
        <v>40</v>
      </c>
      <c r="Q80" s="194" t="s">
        <v>228</v>
      </c>
      <c r="R80" s="194" t="s">
        <v>379</v>
      </c>
      <c r="S80" s="194" t="s">
        <v>99</v>
      </c>
      <c r="T80" s="211">
        <v>1</v>
      </c>
      <c r="U80" s="212" t="str">
        <f t="shared" si="43"/>
        <v>Gestionar y administrar los procesos de adquisición y actualización del licenciamiento, requerido para el desarrollo de las actividades de la Entidad.</v>
      </c>
      <c r="V80" s="213">
        <f t="shared" si="43"/>
        <v>1024732093</v>
      </c>
      <c r="W80" s="222" t="s">
        <v>114</v>
      </c>
      <c r="X80" s="216">
        <v>0</v>
      </c>
      <c r="Y80" s="214" t="s">
        <v>284</v>
      </c>
      <c r="Z80" s="210">
        <v>0</v>
      </c>
      <c r="AA80" s="196"/>
      <c r="AB80" s="196"/>
      <c r="AC80" s="204" t="e">
        <f t="shared" si="44"/>
        <v>#DIV/0!</v>
      </c>
      <c r="AD80" s="204" t="e">
        <f t="shared" si="45"/>
        <v>#DIV/0!</v>
      </c>
      <c r="AE80" s="204">
        <f t="shared" si="31"/>
        <v>0</v>
      </c>
      <c r="AF80" s="204">
        <f t="shared" si="32"/>
        <v>0</v>
      </c>
      <c r="AG80" s="216">
        <v>0.10208131541362782</v>
      </c>
      <c r="AH80" s="214" t="s">
        <v>284</v>
      </c>
      <c r="AI80" s="210">
        <v>104606000</v>
      </c>
      <c r="AJ80" s="196"/>
      <c r="AK80" s="196"/>
      <c r="AL80" s="204">
        <f t="shared" si="46"/>
        <v>0</v>
      </c>
      <c r="AM80" s="204">
        <f t="shared" si="33"/>
        <v>0</v>
      </c>
      <c r="AN80" s="204">
        <f t="shared" si="34"/>
        <v>0</v>
      </c>
      <c r="AO80" s="204">
        <f t="shared" si="35"/>
        <v>0</v>
      </c>
      <c r="AP80" s="216">
        <v>0.33293564174533957</v>
      </c>
      <c r="AQ80" s="214" t="s">
        <v>284</v>
      </c>
      <c r="AR80" s="210">
        <v>341169837</v>
      </c>
      <c r="AS80" s="196"/>
      <c r="AT80" s="196"/>
      <c r="AU80" s="204">
        <f t="shared" si="47"/>
        <v>0</v>
      </c>
      <c r="AV80" s="204">
        <f t="shared" si="48"/>
        <v>0</v>
      </c>
      <c r="AW80" s="204">
        <f t="shared" si="49"/>
        <v>0</v>
      </c>
      <c r="AX80" s="204">
        <f t="shared" si="50"/>
        <v>0</v>
      </c>
      <c r="AY80" s="216">
        <v>0.56498304284103262</v>
      </c>
      <c r="AZ80" s="214" t="s">
        <v>284</v>
      </c>
      <c r="BA80" s="210">
        <v>578956256</v>
      </c>
      <c r="BB80" s="196"/>
      <c r="BC80" s="196"/>
      <c r="BD80" s="216">
        <f t="shared" si="51"/>
        <v>0</v>
      </c>
      <c r="BE80" s="216">
        <f t="shared" si="52"/>
        <v>0</v>
      </c>
      <c r="BF80" s="216">
        <f t="shared" si="53"/>
        <v>0</v>
      </c>
      <c r="BG80" s="216">
        <f t="shared" si="54"/>
        <v>0</v>
      </c>
      <c r="BH80" s="217" t="str">
        <f t="shared" si="36"/>
        <v>No Prog ni Ejec</v>
      </c>
      <c r="BI80" s="217" t="str">
        <f t="shared" si="37"/>
        <v>No Prog ni Ejec</v>
      </c>
      <c r="BJ80" s="217">
        <f t="shared" si="38"/>
        <v>0</v>
      </c>
      <c r="BK80" s="217">
        <f t="shared" si="39"/>
        <v>0</v>
      </c>
      <c r="BL80" s="217">
        <f t="shared" si="55"/>
        <v>0</v>
      </c>
      <c r="BM80" s="217">
        <f t="shared" si="56"/>
        <v>0</v>
      </c>
      <c r="BN80" s="217">
        <f t="shared" si="40"/>
        <v>0</v>
      </c>
      <c r="BO80" s="217">
        <f t="shared" si="41"/>
        <v>0</v>
      </c>
      <c r="BP80" s="206"/>
      <c r="BQ80" s="277">
        <v>4</v>
      </c>
      <c r="BR80" s="208">
        <f t="shared" si="42"/>
        <v>0.21305986266207433</v>
      </c>
      <c r="BS80" s="219" t="str">
        <f t="shared" si="57"/>
        <v>Gestionar y administrar los procesos de adquisición y actualización del licenciamiento, requerido para el desarrollo de las actividades de la Entidad.</v>
      </c>
      <c r="BT80" s="195">
        <f t="shared" si="30"/>
        <v>218329279</v>
      </c>
      <c r="BU80" s="196"/>
      <c r="BV80" s="196"/>
      <c r="BW80" s="196"/>
      <c r="BX80" s="196"/>
      <c r="BY80" s="196"/>
      <c r="BZ80" s="19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7" x14ac:dyDescent="0.25">
      <c r="A81" s="197">
        <v>11600</v>
      </c>
      <c r="B81" s="194" t="s">
        <v>6</v>
      </c>
      <c r="C81" s="198" t="s">
        <v>278</v>
      </c>
      <c r="D81" s="194" t="s">
        <v>147</v>
      </c>
      <c r="E81" s="198" t="s">
        <v>518</v>
      </c>
      <c r="F81" s="194" t="s">
        <v>287</v>
      </c>
      <c r="G81" s="209" t="s">
        <v>123</v>
      </c>
      <c r="H81" s="216">
        <v>1</v>
      </c>
      <c r="I81" s="198" t="s">
        <v>519</v>
      </c>
      <c r="J81" s="194" t="s">
        <v>287</v>
      </c>
      <c r="K81" s="210">
        <v>180000000</v>
      </c>
      <c r="L81" s="211">
        <v>1</v>
      </c>
      <c r="M81" s="194" t="s">
        <v>46</v>
      </c>
      <c r="N81" s="194" t="s">
        <v>73</v>
      </c>
      <c r="O81" s="194" t="s">
        <v>37</v>
      </c>
      <c r="P81" s="194" t="s">
        <v>40</v>
      </c>
      <c r="Q81" s="194" t="s">
        <v>228</v>
      </c>
      <c r="R81" s="194" t="s">
        <v>634</v>
      </c>
      <c r="S81" s="194" t="s">
        <v>99</v>
      </c>
      <c r="T81" s="211">
        <v>1</v>
      </c>
      <c r="U81" s="212" t="str">
        <f t="shared" si="43"/>
        <v>Adquisición de bienes y/o servicios para la seguridad de la información</v>
      </c>
      <c r="V81" s="213">
        <f t="shared" si="43"/>
        <v>180000000</v>
      </c>
      <c r="W81" s="222" t="s">
        <v>114</v>
      </c>
      <c r="X81" s="281">
        <v>0</v>
      </c>
      <c r="Y81" s="282" t="s">
        <v>287</v>
      </c>
      <c r="Z81" s="283">
        <v>0</v>
      </c>
      <c r="AA81" s="279"/>
      <c r="AB81" s="279"/>
      <c r="AC81" s="280" t="e">
        <f t="shared" si="44"/>
        <v>#DIV/0!</v>
      </c>
      <c r="AD81" s="280" t="e">
        <f t="shared" si="45"/>
        <v>#DIV/0!</v>
      </c>
      <c r="AE81" s="280">
        <f t="shared" si="31"/>
        <v>0</v>
      </c>
      <c r="AF81" s="280">
        <f t="shared" si="32"/>
        <v>0</v>
      </c>
      <c r="AG81" s="281">
        <v>0</v>
      </c>
      <c r="AH81" s="282" t="s">
        <v>287</v>
      </c>
      <c r="AI81" s="283">
        <v>0</v>
      </c>
      <c r="AJ81" s="279"/>
      <c r="AK81" s="279"/>
      <c r="AL81" s="280" t="e">
        <f t="shared" si="46"/>
        <v>#DIV/0!</v>
      </c>
      <c r="AM81" s="280" t="e">
        <f t="shared" si="33"/>
        <v>#DIV/0!</v>
      </c>
      <c r="AN81" s="280">
        <f t="shared" si="34"/>
        <v>0</v>
      </c>
      <c r="AO81" s="280">
        <f t="shared" si="35"/>
        <v>0</v>
      </c>
      <c r="AP81" s="281">
        <v>0.5</v>
      </c>
      <c r="AQ81" s="282" t="s">
        <v>287</v>
      </c>
      <c r="AR81" s="283">
        <v>90000000</v>
      </c>
      <c r="AS81" s="279"/>
      <c r="AT81" s="279"/>
      <c r="AU81" s="280">
        <f t="shared" si="47"/>
        <v>0</v>
      </c>
      <c r="AV81" s="280">
        <f t="shared" si="48"/>
        <v>0</v>
      </c>
      <c r="AW81" s="280">
        <f t="shared" si="49"/>
        <v>0</v>
      </c>
      <c r="AX81" s="280">
        <f t="shared" si="50"/>
        <v>0</v>
      </c>
      <c r="AY81" s="281">
        <v>0.5</v>
      </c>
      <c r="AZ81" s="282" t="s">
        <v>287</v>
      </c>
      <c r="BA81" s="283">
        <v>90000000</v>
      </c>
      <c r="BB81" s="279"/>
      <c r="BC81" s="279"/>
      <c r="BD81" s="281">
        <f t="shared" si="51"/>
        <v>0</v>
      </c>
      <c r="BE81" s="281">
        <f t="shared" si="52"/>
        <v>0</v>
      </c>
      <c r="BF81" s="281">
        <f t="shared" si="53"/>
        <v>0</v>
      </c>
      <c r="BG81" s="281">
        <f t="shared" si="54"/>
        <v>0</v>
      </c>
      <c r="BH81" s="205" t="str">
        <f t="shared" si="36"/>
        <v>No Prog ni Ejec</v>
      </c>
      <c r="BI81" s="205" t="str">
        <f t="shared" si="37"/>
        <v>No Prog ni Ejec</v>
      </c>
      <c r="BJ81" s="205" t="str">
        <f t="shared" si="38"/>
        <v>No Prog ni Ejec</v>
      </c>
      <c r="BK81" s="205" t="str">
        <f t="shared" si="39"/>
        <v>No Prog ni Ejec</v>
      </c>
      <c r="BL81" s="205">
        <f t="shared" si="55"/>
        <v>0</v>
      </c>
      <c r="BM81" s="205">
        <f t="shared" si="56"/>
        <v>0</v>
      </c>
      <c r="BN81" s="205">
        <f t="shared" si="40"/>
        <v>0</v>
      </c>
      <c r="BO81" s="205">
        <f t="shared" si="41"/>
        <v>0</v>
      </c>
      <c r="BP81" s="206"/>
      <c r="BQ81" s="277">
        <v>4</v>
      </c>
      <c r="BR81" s="208">
        <f t="shared" si="42"/>
        <v>0.16666666666666666</v>
      </c>
      <c r="BS81" s="219" t="str">
        <f t="shared" si="57"/>
        <v>Adquisición de bienes y/o servicios para la seguridad de la información</v>
      </c>
      <c r="BT81" s="195">
        <f t="shared" si="30"/>
        <v>30000000</v>
      </c>
      <c r="BU81" s="196"/>
      <c r="BV81" s="196"/>
      <c r="BW81" s="196"/>
      <c r="BX81" s="196"/>
      <c r="BY81" s="196"/>
      <c r="BZ81" s="19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114" x14ac:dyDescent="0.25">
      <c r="A82" s="197">
        <v>11600</v>
      </c>
      <c r="B82" s="194" t="s">
        <v>6</v>
      </c>
      <c r="C82" s="198" t="s">
        <v>278</v>
      </c>
      <c r="D82" s="194" t="s">
        <v>147</v>
      </c>
      <c r="E82" s="198" t="s">
        <v>520</v>
      </c>
      <c r="F82" s="194" t="s">
        <v>562</v>
      </c>
      <c r="G82" s="209" t="s">
        <v>123</v>
      </c>
      <c r="H82" s="216">
        <v>1</v>
      </c>
      <c r="I82" s="198" t="s">
        <v>521</v>
      </c>
      <c r="J82" s="194" t="s">
        <v>635</v>
      </c>
      <c r="K82" s="210">
        <v>815594000</v>
      </c>
      <c r="L82" s="211">
        <v>1</v>
      </c>
      <c r="M82" s="194" t="s">
        <v>46</v>
      </c>
      <c r="N82" s="194" t="s">
        <v>73</v>
      </c>
      <c r="O82" s="194" t="s">
        <v>37</v>
      </c>
      <c r="P82" s="194" t="s">
        <v>40</v>
      </c>
      <c r="Q82" s="194" t="s">
        <v>228</v>
      </c>
      <c r="R82" s="194" t="s">
        <v>636</v>
      </c>
      <c r="S82" s="194" t="s">
        <v>99</v>
      </c>
      <c r="T82" s="211">
        <v>1</v>
      </c>
      <c r="U82" s="212" t="str">
        <f t="shared" si="43"/>
        <v>Implementación de estrategias, instrumentos y herramientas</v>
      </c>
      <c r="V82" s="213">
        <f t="shared" si="43"/>
        <v>815594000</v>
      </c>
      <c r="W82" s="222" t="s">
        <v>114</v>
      </c>
      <c r="X82" s="281">
        <v>7.0000000000000007E-2</v>
      </c>
      <c r="Y82" s="282" t="s">
        <v>635</v>
      </c>
      <c r="Z82" s="283">
        <f>+V82*X82</f>
        <v>57091580.000000007</v>
      </c>
      <c r="AA82" s="279"/>
      <c r="AB82" s="279"/>
      <c r="AC82" s="280">
        <f t="shared" si="44"/>
        <v>0</v>
      </c>
      <c r="AD82" s="280">
        <f t="shared" si="45"/>
        <v>0</v>
      </c>
      <c r="AE82" s="280">
        <f t="shared" si="31"/>
        <v>0</v>
      </c>
      <c r="AF82" s="280">
        <f t="shared" si="32"/>
        <v>0</v>
      </c>
      <c r="AG82" s="281">
        <v>0.27</v>
      </c>
      <c r="AH82" s="282" t="s">
        <v>635</v>
      </c>
      <c r="AI82" s="283">
        <f>+AG82*V82</f>
        <v>220210380</v>
      </c>
      <c r="AJ82" s="285"/>
      <c r="AK82" s="279"/>
      <c r="AL82" s="280">
        <f t="shared" si="46"/>
        <v>0</v>
      </c>
      <c r="AM82" s="280">
        <f t="shared" si="33"/>
        <v>0</v>
      </c>
      <c r="AN82" s="280">
        <f t="shared" si="34"/>
        <v>0</v>
      </c>
      <c r="AO82" s="280">
        <f t="shared" si="35"/>
        <v>0</v>
      </c>
      <c r="AP82" s="281">
        <v>0.35</v>
      </c>
      <c r="AQ82" s="282" t="s">
        <v>635</v>
      </c>
      <c r="AR82" s="283">
        <f>+AP82*V82</f>
        <v>285457900</v>
      </c>
      <c r="AS82" s="285"/>
      <c r="AT82" s="279"/>
      <c r="AU82" s="280">
        <f t="shared" si="47"/>
        <v>0</v>
      </c>
      <c r="AV82" s="280">
        <f t="shared" si="48"/>
        <v>0</v>
      </c>
      <c r="AW82" s="280">
        <f t="shared" si="49"/>
        <v>0</v>
      </c>
      <c r="AX82" s="280">
        <f t="shared" si="50"/>
        <v>0</v>
      </c>
      <c r="AY82" s="281">
        <v>0.31</v>
      </c>
      <c r="AZ82" s="282" t="s">
        <v>635</v>
      </c>
      <c r="BA82" s="283">
        <f>+AY82*V82</f>
        <v>252834140</v>
      </c>
      <c r="BB82" s="279"/>
      <c r="BC82" s="279"/>
      <c r="BD82" s="281">
        <f t="shared" si="51"/>
        <v>0</v>
      </c>
      <c r="BE82" s="281">
        <f t="shared" si="52"/>
        <v>0</v>
      </c>
      <c r="BF82" s="281">
        <f t="shared" si="53"/>
        <v>0</v>
      </c>
      <c r="BG82" s="281">
        <f t="shared" si="54"/>
        <v>0</v>
      </c>
      <c r="BH82" s="205">
        <f t="shared" si="36"/>
        <v>0</v>
      </c>
      <c r="BI82" s="205">
        <f t="shared" si="37"/>
        <v>0</v>
      </c>
      <c r="BJ82" s="205">
        <f t="shared" si="38"/>
        <v>0</v>
      </c>
      <c r="BK82" s="205">
        <f t="shared" si="39"/>
        <v>0</v>
      </c>
      <c r="BL82" s="205">
        <f t="shared" si="55"/>
        <v>0</v>
      </c>
      <c r="BM82" s="205">
        <f t="shared" si="56"/>
        <v>0</v>
      </c>
      <c r="BN82" s="205">
        <f t="shared" si="40"/>
        <v>0</v>
      </c>
      <c r="BO82" s="205">
        <f t="shared" si="41"/>
        <v>0</v>
      </c>
      <c r="BP82" s="206"/>
      <c r="BQ82" s="277">
        <v>4</v>
      </c>
      <c r="BR82" s="208">
        <f t="shared" si="42"/>
        <v>0.45666666666666667</v>
      </c>
      <c r="BS82" s="219" t="str">
        <f t="shared" si="57"/>
        <v>Implementación de estrategias, instrumentos y herramientas</v>
      </c>
      <c r="BT82" s="195">
        <f t="shared" si="30"/>
        <v>372454593.33333331</v>
      </c>
      <c r="BU82" s="196"/>
      <c r="BV82" s="196"/>
      <c r="BW82" s="196"/>
      <c r="BX82" s="196"/>
      <c r="BY82" s="196"/>
      <c r="BZ82" s="19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7" x14ac:dyDescent="0.25">
      <c r="A83" s="197">
        <v>11600</v>
      </c>
      <c r="B83" s="194" t="s">
        <v>6</v>
      </c>
      <c r="C83" s="198" t="s">
        <v>278</v>
      </c>
      <c r="D83" s="194" t="s">
        <v>147</v>
      </c>
      <c r="E83" s="198" t="s">
        <v>515</v>
      </c>
      <c r="F83" s="194" t="s">
        <v>637</v>
      </c>
      <c r="G83" s="209" t="s">
        <v>123</v>
      </c>
      <c r="H83" s="216">
        <v>1</v>
      </c>
      <c r="I83" s="198" t="s">
        <v>522</v>
      </c>
      <c r="J83" s="194" t="s">
        <v>637</v>
      </c>
      <c r="K83" s="210">
        <v>816000000</v>
      </c>
      <c r="L83" s="211">
        <v>1</v>
      </c>
      <c r="M83" s="194" t="s">
        <v>46</v>
      </c>
      <c r="N83" s="194" t="s">
        <v>73</v>
      </c>
      <c r="O83" s="194" t="s">
        <v>37</v>
      </c>
      <c r="P83" s="194" t="s">
        <v>40</v>
      </c>
      <c r="Q83" s="194" t="s">
        <v>228</v>
      </c>
      <c r="R83" s="194" t="s">
        <v>760</v>
      </c>
      <c r="S83" s="194" t="s">
        <v>99</v>
      </c>
      <c r="T83" s="211">
        <v>1</v>
      </c>
      <c r="U83" s="212" t="str">
        <f t="shared" si="43"/>
        <v>Desarrollo de nuevos Sistemas de información</v>
      </c>
      <c r="V83" s="213">
        <f t="shared" si="43"/>
        <v>816000000</v>
      </c>
      <c r="W83" s="222" t="s">
        <v>114</v>
      </c>
      <c r="X83" s="216">
        <v>0</v>
      </c>
      <c r="Y83" s="214" t="s">
        <v>637</v>
      </c>
      <c r="Z83" s="210">
        <v>0</v>
      </c>
      <c r="AA83" s="196"/>
      <c r="AB83" s="196"/>
      <c r="AC83" s="204" t="e">
        <f t="shared" si="44"/>
        <v>#DIV/0!</v>
      </c>
      <c r="AD83" s="204" t="e">
        <f t="shared" si="45"/>
        <v>#DIV/0!</v>
      </c>
      <c r="AE83" s="204">
        <f t="shared" si="31"/>
        <v>0</v>
      </c>
      <c r="AF83" s="204">
        <f t="shared" si="32"/>
        <v>0</v>
      </c>
      <c r="AG83" s="216">
        <v>0</v>
      </c>
      <c r="AH83" s="214" t="s">
        <v>637</v>
      </c>
      <c r="AI83" s="210">
        <v>0</v>
      </c>
      <c r="AJ83" s="196"/>
      <c r="AK83" s="196"/>
      <c r="AL83" s="204" t="e">
        <f t="shared" si="46"/>
        <v>#DIV/0!</v>
      </c>
      <c r="AM83" s="204" t="e">
        <f t="shared" si="33"/>
        <v>#DIV/0!</v>
      </c>
      <c r="AN83" s="204">
        <f t="shared" si="34"/>
        <v>0</v>
      </c>
      <c r="AO83" s="204">
        <f t="shared" si="35"/>
        <v>0</v>
      </c>
      <c r="AP83" s="216">
        <v>0.5</v>
      </c>
      <c r="AQ83" s="214" t="s">
        <v>637</v>
      </c>
      <c r="AR83" s="210">
        <v>408000000</v>
      </c>
      <c r="AS83" s="196"/>
      <c r="AT83" s="196"/>
      <c r="AU83" s="204">
        <f t="shared" si="47"/>
        <v>0</v>
      </c>
      <c r="AV83" s="204">
        <f t="shared" si="48"/>
        <v>0</v>
      </c>
      <c r="AW83" s="204">
        <f t="shared" si="49"/>
        <v>0</v>
      </c>
      <c r="AX83" s="204">
        <f t="shared" si="50"/>
        <v>0</v>
      </c>
      <c r="AY83" s="216">
        <v>0.5</v>
      </c>
      <c r="AZ83" s="214" t="s">
        <v>637</v>
      </c>
      <c r="BA83" s="210">
        <v>408000000</v>
      </c>
      <c r="BB83" s="196"/>
      <c r="BC83" s="196"/>
      <c r="BD83" s="216">
        <f t="shared" si="51"/>
        <v>0</v>
      </c>
      <c r="BE83" s="216">
        <f t="shared" si="52"/>
        <v>0</v>
      </c>
      <c r="BF83" s="216">
        <f t="shared" si="53"/>
        <v>0</v>
      </c>
      <c r="BG83" s="216">
        <f t="shared" si="54"/>
        <v>0</v>
      </c>
      <c r="BH83" s="223" t="str">
        <f t="shared" si="36"/>
        <v>No Prog ni Ejec</v>
      </c>
      <c r="BI83" s="223" t="str">
        <f t="shared" si="37"/>
        <v>No Prog ni Ejec</v>
      </c>
      <c r="BJ83" s="223" t="str">
        <f t="shared" si="38"/>
        <v>No Prog ni Ejec</v>
      </c>
      <c r="BK83" s="223" t="str">
        <f t="shared" si="39"/>
        <v>No Prog ni Ejec</v>
      </c>
      <c r="BL83" s="223">
        <f t="shared" si="55"/>
        <v>0</v>
      </c>
      <c r="BM83" s="223">
        <f t="shared" si="56"/>
        <v>0</v>
      </c>
      <c r="BN83" s="223">
        <f t="shared" si="40"/>
        <v>0</v>
      </c>
      <c r="BO83" s="223">
        <f t="shared" si="41"/>
        <v>0</v>
      </c>
      <c r="BP83" s="206"/>
      <c r="BQ83" s="277">
        <v>4</v>
      </c>
      <c r="BR83" s="208">
        <f t="shared" si="42"/>
        <v>0.16666666666666666</v>
      </c>
      <c r="BS83" s="219" t="str">
        <f t="shared" si="57"/>
        <v>Desarrollo de nuevos Sistemas de información</v>
      </c>
      <c r="BT83" s="195">
        <f t="shared" si="30"/>
        <v>136000000</v>
      </c>
      <c r="BU83" s="196"/>
      <c r="BV83" s="196"/>
      <c r="BW83" s="196"/>
      <c r="BX83" s="196"/>
      <c r="BY83" s="196"/>
      <c r="BZ83" s="19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7" x14ac:dyDescent="0.25">
      <c r="A84" s="197">
        <v>11600</v>
      </c>
      <c r="B84" s="194" t="s">
        <v>6</v>
      </c>
      <c r="C84" s="198" t="s">
        <v>278</v>
      </c>
      <c r="D84" s="194" t="s">
        <v>147</v>
      </c>
      <c r="E84" s="198" t="s">
        <v>523</v>
      </c>
      <c r="F84" s="194" t="s">
        <v>286</v>
      </c>
      <c r="G84" s="209" t="s">
        <v>123</v>
      </c>
      <c r="H84" s="216">
        <v>1</v>
      </c>
      <c r="I84" s="198" t="s">
        <v>524</v>
      </c>
      <c r="J84" s="194" t="s">
        <v>637</v>
      </c>
      <c r="K84" s="210">
        <v>48960000</v>
      </c>
      <c r="L84" s="211">
        <v>1</v>
      </c>
      <c r="M84" s="194" t="s">
        <v>46</v>
      </c>
      <c r="N84" s="194" t="s">
        <v>73</v>
      </c>
      <c r="O84" s="194" t="s">
        <v>37</v>
      </c>
      <c r="P84" s="194" t="s">
        <v>40</v>
      </c>
      <c r="Q84" s="194" t="s">
        <v>228</v>
      </c>
      <c r="R84" s="194" t="s">
        <v>379</v>
      </c>
      <c r="S84" s="194" t="s">
        <v>99</v>
      </c>
      <c r="T84" s="211">
        <v>1</v>
      </c>
      <c r="U84" s="212" t="str">
        <f t="shared" si="43"/>
        <v>Desarrollo de nuevos Sistemas de información</v>
      </c>
      <c r="V84" s="213">
        <f t="shared" si="43"/>
        <v>48960000</v>
      </c>
      <c r="W84" s="222" t="s">
        <v>114</v>
      </c>
      <c r="X84" s="216">
        <v>0.25</v>
      </c>
      <c r="Y84" s="214" t="s">
        <v>637</v>
      </c>
      <c r="Z84" s="210">
        <v>12240000</v>
      </c>
      <c r="AA84" s="196"/>
      <c r="AB84" s="196"/>
      <c r="AC84" s="204">
        <f t="shared" si="44"/>
        <v>0</v>
      </c>
      <c r="AD84" s="204">
        <f t="shared" si="45"/>
        <v>0</v>
      </c>
      <c r="AE84" s="204">
        <f t="shared" si="31"/>
        <v>0</v>
      </c>
      <c r="AF84" s="204">
        <f t="shared" si="32"/>
        <v>0</v>
      </c>
      <c r="AG84" s="216">
        <v>0.25</v>
      </c>
      <c r="AH84" s="214" t="s">
        <v>637</v>
      </c>
      <c r="AI84" s="210">
        <v>12240000</v>
      </c>
      <c r="AJ84" s="196"/>
      <c r="AK84" s="196"/>
      <c r="AL84" s="204">
        <f t="shared" si="46"/>
        <v>0</v>
      </c>
      <c r="AM84" s="204">
        <f t="shared" si="33"/>
        <v>0</v>
      </c>
      <c r="AN84" s="204">
        <f t="shared" si="34"/>
        <v>0</v>
      </c>
      <c r="AO84" s="204">
        <f t="shared" si="35"/>
        <v>0</v>
      </c>
      <c r="AP84" s="216">
        <v>0.25</v>
      </c>
      <c r="AQ84" s="214" t="s">
        <v>637</v>
      </c>
      <c r="AR84" s="210">
        <v>12240000</v>
      </c>
      <c r="AS84" s="196"/>
      <c r="AT84" s="196"/>
      <c r="AU84" s="204">
        <f t="shared" si="47"/>
        <v>0</v>
      </c>
      <c r="AV84" s="204">
        <f t="shared" si="48"/>
        <v>0</v>
      </c>
      <c r="AW84" s="204">
        <f t="shared" si="49"/>
        <v>0</v>
      </c>
      <c r="AX84" s="204">
        <f t="shared" si="50"/>
        <v>0</v>
      </c>
      <c r="AY84" s="216">
        <v>0.25</v>
      </c>
      <c r="AZ84" s="214" t="s">
        <v>637</v>
      </c>
      <c r="BA84" s="210">
        <v>12240000</v>
      </c>
      <c r="BB84" s="196"/>
      <c r="BC84" s="196"/>
      <c r="BD84" s="216">
        <f t="shared" si="51"/>
        <v>0</v>
      </c>
      <c r="BE84" s="216">
        <f t="shared" si="52"/>
        <v>0</v>
      </c>
      <c r="BF84" s="216">
        <f t="shared" si="53"/>
        <v>0</v>
      </c>
      <c r="BG84" s="216">
        <f t="shared" si="54"/>
        <v>0</v>
      </c>
      <c r="BH84" s="217">
        <f t="shared" si="36"/>
        <v>0</v>
      </c>
      <c r="BI84" s="217">
        <f t="shared" si="37"/>
        <v>0</v>
      </c>
      <c r="BJ84" s="217">
        <f t="shared" si="38"/>
        <v>0</v>
      </c>
      <c r="BK84" s="217">
        <f t="shared" si="39"/>
        <v>0</v>
      </c>
      <c r="BL84" s="217">
        <f t="shared" si="55"/>
        <v>0</v>
      </c>
      <c r="BM84" s="217">
        <f t="shared" si="56"/>
        <v>0</v>
      </c>
      <c r="BN84" s="217">
        <f t="shared" si="40"/>
        <v>0</v>
      </c>
      <c r="BO84" s="217">
        <f t="shared" si="41"/>
        <v>0</v>
      </c>
      <c r="BP84" s="206"/>
      <c r="BQ84" s="277">
        <v>4</v>
      </c>
      <c r="BR84" s="208">
        <f t="shared" si="42"/>
        <v>0.58333333333333337</v>
      </c>
      <c r="BS84" s="219" t="str">
        <f t="shared" si="57"/>
        <v>Desarrollo de nuevos Sistemas de información</v>
      </c>
      <c r="BT84" s="195">
        <f t="shared" si="30"/>
        <v>28560000</v>
      </c>
      <c r="BU84" s="196"/>
      <c r="BV84" s="196"/>
      <c r="BW84" s="196"/>
      <c r="BX84" s="196"/>
      <c r="BY84" s="196"/>
      <c r="BZ84" s="19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7" x14ac:dyDescent="0.25">
      <c r="A85" s="197">
        <v>11600</v>
      </c>
      <c r="B85" s="194" t="s">
        <v>6</v>
      </c>
      <c r="C85" s="198" t="s">
        <v>278</v>
      </c>
      <c r="D85" s="194" t="s">
        <v>147</v>
      </c>
      <c r="E85" s="198" t="s">
        <v>525</v>
      </c>
      <c r="F85" s="194" t="s">
        <v>288</v>
      </c>
      <c r="G85" s="209" t="s">
        <v>123</v>
      </c>
      <c r="H85" s="216">
        <v>1</v>
      </c>
      <c r="I85" s="198" t="s">
        <v>526</v>
      </c>
      <c r="J85" s="194" t="s">
        <v>288</v>
      </c>
      <c r="K85" s="210">
        <v>146880000</v>
      </c>
      <c r="L85" s="211">
        <v>1</v>
      </c>
      <c r="M85" s="194" t="s">
        <v>46</v>
      </c>
      <c r="N85" s="194" t="s">
        <v>73</v>
      </c>
      <c r="O85" s="194" t="s">
        <v>37</v>
      </c>
      <c r="P85" s="194" t="s">
        <v>40</v>
      </c>
      <c r="Q85" s="194" t="s">
        <v>228</v>
      </c>
      <c r="R85" s="194" t="s">
        <v>379</v>
      </c>
      <c r="S85" s="194" t="s">
        <v>99</v>
      </c>
      <c r="T85" s="211">
        <v>1</v>
      </c>
      <c r="U85" s="212" t="str">
        <f t="shared" si="43"/>
        <v>Brindar Soporte al procesos BDUA</v>
      </c>
      <c r="V85" s="213">
        <f t="shared" si="43"/>
        <v>146880000</v>
      </c>
      <c r="W85" s="222" t="s">
        <v>114</v>
      </c>
      <c r="X85" s="216">
        <v>0.25</v>
      </c>
      <c r="Y85" s="214" t="s">
        <v>288</v>
      </c>
      <c r="Z85" s="210">
        <v>36720000</v>
      </c>
      <c r="AA85" s="196"/>
      <c r="AB85" s="196"/>
      <c r="AC85" s="204">
        <f t="shared" si="44"/>
        <v>0</v>
      </c>
      <c r="AD85" s="204">
        <f t="shared" si="45"/>
        <v>0</v>
      </c>
      <c r="AE85" s="204">
        <f t="shared" si="31"/>
        <v>0</v>
      </c>
      <c r="AF85" s="204">
        <f t="shared" si="32"/>
        <v>0</v>
      </c>
      <c r="AG85" s="216">
        <v>0.25</v>
      </c>
      <c r="AH85" s="214" t="s">
        <v>288</v>
      </c>
      <c r="AI85" s="210">
        <v>36720000</v>
      </c>
      <c r="AJ85" s="196"/>
      <c r="AK85" s="196"/>
      <c r="AL85" s="204">
        <f t="shared" si="46"/>
        <v>0</v>
      </c>
      <c r="AM85" s="204">
        <f t="shared" si="33"/>
        <v>0</v>
      </c>
      <c r="AN85" s="204">
        <f t="shared" si="34"/>
        <v>0</v>
      </c>
      <c r="AO85" s="204">
        <f t="shared" si="35"/>
        <v>0</v>
      </c>
      <c r="AP85" s="216">
        <v>0.25</v>
      </c>
      <c r="AQ85" s="214" t="s">
        <v>288</v>
      </c>
      <c r="AR85" s="210">
        <v>36720000</v>
      </c>
      <c r="AS85" s="196"/>
      <c r="AT85" s="196"/>
      <c r="AU85" s="204">
        <f t="shared" si="47"/>
        <v>0</v>
      </c>
      <c r="AV85" s="204">
        <f t="shared" si="48"/>
        <v>0</v>
      </c>
      <c r="AW85" s="204">
        <f t="shared" si="49"/>
        <v>0</v>
      </c>
      <c r="AX85" s="204">
        <f t="shared" si="50"/>
        <v>0</v>
      </c>
      <c r="AY85" s="216">
        <v>0.25</v>
      </c>
      <c r="AZ85" s="214" t="s">
        <v>288</v>
      </c>
      <c r="BA85" s="210">
        <v>36720000</v>
      </c>
      <c r="BB85" s="196"/>
      <c r="BC85" s="196"/>
      <c r="BD85" s="216">
        <f t="shared" si="51"/>
        <v>0</v>
      </c>
      <c r="BE85" s="216">
        <f t="shared" si="52"/>
        <v>0</v>
      </c>
      <c r="BF85" s="216">
        <f t="shared" si="53"/>
        <v>0</v>
      </c>
      <c r="BG85" s="216">
        <f t="shared" si="54"/>
        <v>0</v>
      </c>
      <c r="BH85" s="217">
        <f t="shared" si="36"/>
        <v>0</v>
      </c>
      <c r="BI85" s="217">
        <f t="shared" si="37"/>
        <v>0</v>
      </c>
      <c r="BJ85" s="217">
        <f t="shared" si="38"/>
        <v>0</v>
      </c>
      <c r="BK85" s="217">
        <f t="shared" si="39"/>
        <v>0</v>
      </c>
      <c r="BL85" s="217">
        <f t="shared" si="55"/>
        <v>0</v>
      </c>
      <c r="BM85" s="217">
        <f t="shared" si="56"/>
        <v>0</v>
      </c>
      <c r="BN85" s="217">
        <f t="shared" si="40"/>
        <v>0</v>
      </c>
      <c r="BO85" s="217">
        <f t="shared" si="41"/>
        <v>0</v>
      </c>
      <c r="BP85" s="206"/>
      <c r="BQ85" s="277">
        <v>4</v>
      </c>
      <c r="BR85" s="208">
        <f t="shared" si="42"/>
        <v>0.58333333333333337</v>
      </c>
      <c r="BS85" s="219" t="str">
        <f t="shared" si="57"/>
        <v>Brindar Soporte al procesos BDUA</v>
      </c>
      <c r="BT85" s="195">
        <f t="shared" si="30"/>
        <v>85680000</v>
      </c>
      <c r="BU85" s="196"/>
      <c r="BV85" s="196"/>
      <c r="BW85" s="196"/>
      <c r="BX85" s="196"/>
      <c r="BY85" s="196"/>
      <c r="BZ85" s="19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7" x14ac:dyDescent="0.25">
      <c r="A86" s="197">
        <v>11600</v>
      </c>
      <c r="B86" s="194" t="s">
        <v>6</v>
      </c>
      <c r="C86" s="198" t="s">
        <v>278</v>
      </c>
      <c r="D86" s="194" t="s">
        <v>147</v>
      </c>
      <c r="E86" s="198" t="s">
        <v>527</v>
      </c>
      <c r="F86" s="194" t="s">
        <v>289</v>
      </c>
      <c r="G86" s="209" t="s">
        <v>123</v>
      </c>
      <c r="H86" s="216">
        <v>1</v>
      </c>
      <c r="I86" s="198" t="s">
        <v>528</v>
      </c>
      <c r="J86" s="194" t="s">
        <v>289</v>
      </c>
      <c r="K86" s="210">
        <v>576178068</v>
      </c>
      <c r="L86" s="211">
        <v>1</v>
      </c>
      <c r="M86" s="194" t="s">
        <v>46</v>
      </c>
      <c r="N86" s="194" t="s">
        <v>73</v>
      </c>
      <c r="O86" s="194" t="s">
        <v>37</v>
      </c>
      <c r="P86" s="194" t="s">
        <v>40</v>
      </c>
      <c r="Q86" s="194" t="s">
        <v>228</v>
      </c>
      <c r="R86" s="194" t="s">
        <v>379</v>
      </c>
      <c r="S86" s="194" t="s">
        <v>99</v>
      </c>
      <c r="T86" s="211">
        <v>1</v>
      </c>
      <c r="U86" s="212" t="str">
        <f t="shared" si="43"/>
        <v>Brindar Soporte a los sistemas de información que respaldan los procesos misionales de ADRES</v>
      </c>
      <c r="V86" s="213">
        <f t="shared" si="43"/>
        <v>576178068</v>
      </c>
      <c r="W86" s="222" t="s">
        <v>114</v>
      </c>
      <c r="X86" s="216">
        <v>0.25</v>
      </c>
      <c r="Y86" s="214" t="s">
        <v>289</v>
      </c>
      <c r="Z86" s="210">
        <v>144044517</v>
      </c>
      <c r="AA86" s="196"/>
      <c r="AB86" s="196"/>
      <c r="AC86" s="204">
        <f t="shared" si="44"/>
        <v>0</v>
      </c>
      <c r="AD86" s="204">
        <f t="shared" si="45"/>
        <v>0</v>
      </c>
      <c r="AE86" s="204">
        <f t="shared" si="31"/>
        <v>0</v>
      </c>
      <c r="AF86" s="204">
        <f t="shared" si="32"/>
        <v>0</v>
      </c>
      <c r="AG86" s="216">
        <v>0.25</v>
      </c>
      <c r="AH86" s="214" t="s">
        <v>289</v>
      </c>
      <c r="AI86" s="210">
        <v>144044517</v>
      </c>
      <c r="AJ86" s="196"/>
      <c r="AK86" s="196"/>
      <c r="AL86" s="204">
        <f t="shared" si="46"/>
        <v>0</v>
      </c>
      <c r="AM86" s="204">
        <f t="shared" si="33"/>
        <v>0</v>
      </c>
      <c r="AN86" s="204">
        <f t="shared" si="34"/>
        <v>0</v>
      </c>
      <c r="AO86" s="204">
        <f t="shared" si="35"/>
        <v>0</v>
      </c>
      <c r="AP86" s="216">
        <v>0.25</v>
      </c>
      <c r="AQ86" s="214" t="s">
        <v>289</v>
      </c>
      <c r="AR86" s="210">
        <v>144044517</v>
      </c>
      <c r="AS86" s="196"/>
      <c r="AT86" s="196"/>
      <c r="AU86" s="204">
        <f t="shared" si="47"/>
        <v>0</v>
      </c>
      <c r="AV86" s="204">
        <f t="shared" si="48"/>
        <v>0</v>
      </c>
      <c r="AW86" s="204">
        <f t="shared" si="49"/>
        <v>0</v>
      </c>
      <c r="AX86" s="204">
        <f t="shared" si="50"/>
        <v>0</v>
      </c>
      <c r="AY86" s="216">
        <v>0.25</v>
      </c>
      <c r="AZ86" s="214" t="s">
        <v>289</v>
      </c>
      <c r="BA86" s="210">
        <v>144044517</v>
      </c>
      <c r="BB86" s="196"/>
      <c r="BC86" s="196"/>
      <c r="BD86" s="216">
        <f t="shared" si="51"/>
        <v>0</v>
      </c>
      <c r="BE86" s="216">
        <f t="shared" si="52"/>
        <v>0</v>
      </c>
      <c r="BF86" s="216">
        <f t="shared" si="53"/>
        <v>0</v>
      </c>
      <c r="BG86" s="216">
        <f t="shared" si="54"/>
        <v>0</v>
      </c>
      <c r="BH86" s="217">
        <f t="shared" si="36"/>
        <v>0</v>
      </c>
      <c r="BI86" s="217">
        <f t="shared" si="37"/>
        <v>0</v>
      </c>
      <c r="BJ86" s="217">
        <f t="shared" si="38"/>
        <v>0</v>
      </c>
      <c r="BK86" s="217">
        <f t="shared" si="39"/>
        <v>0</v>
      </c>
      <c r="BL86" s="217">
        <f t="shared" si="55"/>
        <v>0</v>
      </c>
      <c r="BM86" s="217">
        <f t="shared" si="56"/>
        <v>0</v>
      </c>
      <c r="BN86" s="217">
        <f t="shared" si="40"/>
        <v>0</v>
      </c>
      <c r="BO86" s="217">
        <f t="shared" si="41"/>
        <v>0</v>
      </c>
      <c r="BP86" s="206"/>
      <c r="BQ86" s="277">
        <v>4</v>
      </c>
      <c r="BR86" s="208">
        <f t="shared" si="42"/>
        <v>0.58333333333333337</v>
      </c>
      <c r="BS86" s="219" t="str">
        <f t="shared" si="57"/>
        <v>Brindar Soporte a los sistemas de información que respaldan los procesos misionales de ADRES</v>
      </c>
      <c r="BT86" s="195">
        <f t="shared" si="30"/>
        <v>336103873</v>
      </c>
      <c r="BU86" s="196"/>
      <c r="BV86" s="196"/>
      <c r="BW86" s="196"/>
      <c r="BX86" s="196"/>
      <c r="BY86" s="196"/>
      <c r="BZ86" s="19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7" x14ac:dyDescent="0.25">
      <c r="A87" s="197">
        <v>11600</v>
      </c>
      <c r="B87" s="194" t="s">
        <v>6</v>
      </c>
      <c r="C87" s="198" t="s">
        <v>278</v>
      </c>
      <c r="D87" s="194" t="s">
        <v>147</v>
      </c>
      <c r="E87" s="198" t="s">
        <v>639</v>
      </c>
      <c r="F87" s="194" t="s">
        <v>640</v>
      </c>
      <c r="G87" s="209" t="s">
        <v>123</v>
      </c>
      <c r="H87" s="216">
        <v>1</v>
      </c>
      <c r="I87" s="198" t="s">
        <v>641</v>
      </c>
      <c r="J87" s="194" t="s">
        <v>642</v>
      </c>
      <c r="K87" s="210">
        <v>737488220</v>
      </c>
      <c r="L87" s="211">
        <v>1</v>
      </c>
      <c r="M87" s="194" t="s">
        <v>46</v>
      </c>
      <c r="N87" s="194" t="s">
        <v>73</v>
      </c>
      <c r="O87" s="194" t="s">
        <v>37</v>
      </c>
      <c r="P87" s="194" t="s">
        <v>40</v>
      </c>
      <c r="Q87" s="194" t="s">
        <v>228</v>
      </c>
      <c r="R87" s="194" t="s">
        <v>634</v>
      </c>
      <c r="S87" s="194" t="s">
        <v>99</v>
      </c>
      <c r="T87" s="211">
        <v>1</v>
      </c>
      <c r="U87" s="212" t="str">
        <f t="shared" si="43"/>
        <v>Suministro de Equipos de Computo a la ADRES</v>
      </c>
      <c r="V87" s="213">
        <f t="shared" si="43"/>
        <v>737488220</v>
      </c>
      <c r="W87" s="222" t="s">
        <v>114</v>
      </c>
      <c r="X87" s="216">
        <v>0.25</v>
      </c>
      <c r="Y87" s="214" t="s">
        <v>642</v>
      </c>
      <c r="Z87" s="210">
        <v>184372055</v>
      </c>
      <c r="AA87" s="196"/>
      <c r="AB87" s="196"/>
      <c r="AC87" s="204">
        <f t="shared" si="44"/>
        <v>0</v>
      </c>
      <c r="AD87" s="204">
        <f t="shared" si="45"/>
        <v>0</v>
      </c>
      <c r="AE87" s="204">
        <f t="shared" si="31"/>
        <v>0</v>
      </c>
      <c r="AF87" s="204">
        <f t="shared" si="32"/>
        <v>0</v>
      </c>
      <c r="AG87" s="216">
        <v>0.25</v>
      </c>
      <c r="AH87" s="214" t="s">
        <v>642</v>
      </c>
      <c r="AI87" s="210">
        <v>184372055</v>
      </c>
      <c r="AJ87" s="196"/>
      <c r="AK87" s="196"/>
      <c r="AL87" s="204">
        <f t="shared" si="46"/>
        <v>0</v>
      </c>
      <c r="AM87" s="204">
        <f t="shared" si="33"/>
        <v>0</v>
      </c>
      <c r="AN87" s="204">
        <f t="shared" si="34"/>
        <v>0</v>
      </c>
      <c r="AO87" s="204">
        <f t="shared" si="35"/>
        <v>0</v>
      </c>
      <c r="AP87" s="216">
        <v>0.25</v>
      </c>
      <c r="AQ87" s="214" t="s">
        <v>642</v>
      </c>
      <c r="AR87" s="210">
        <v>184372055</v>
      </c>
      <c r="AS87" s="196"/>
      <c r="AT87" s="196"/>
      <c r="AU87" s="204">
        <f t="shared" si="47"/>
        <v>0</v>
      </c>
      <c r="AV87" s="204">
        <f t="shared" si="48"/>
        <v>0</v>
      </c>
      <c r="AW87" s="204">
        <f t="shared" si="49"/>
        <v>0</v>
      </c>
      <c r="AX87" s="204">
        <f t="shared" si="50"/>
        <v>0</v>
      </c>
      <c r="AY87" s="216">
        <v>0.25</v>
      </c>
      <c r="AZ87" s="214" t="s">
        <v>642</v>
      </c>
      <c r="BA87" s="210">
        <v>184372055</v>
      </c>
      <c r="BB87" s="196"/>
      <c r="BC87" s="196"/>
      <c r="BD87" s="216">
        <f t="shared" si="51"/>
        <v>0</v>
      </c>
      <c r="BE87" s="216">
        <f t="shared" si="52"/>
        <v>0</v>
      </c>
      <c r="BF87" s="216">
        <f t="shared" si="53"/>
        <v>0</v>
      </c>
      <c r="BG87" s="216">
        <f t="shared" si="54"/>
        <v>0</v>
      </c>
      <c r="BH87" s="217">
        <f t="shared" si="36"/>
        <v>0</v>
      </c>
      <c r="BI87" s="217">
        <f t="shared" si="37"/>
        <v>0</v>
      </c>
      <c r="BJ87" s="217">
        <f t="shared" si="38"/>
        <v>0</v>
      </c>
      <c r="BK87" s="217">
        <f t="shared" si="39"/>
        <v>0</v>
      </c>
      <c r="BL87" s="217">
        <f t="shared" si="55"/>
        <v>0</v>
      </c>
      <c r="BM87" s="217">
        <f t="shared" si="56"/>
        <v>0</v>
      </c>
      <c r="BN87" s="217">
        <f t="shared" si="40"/>
        <v>0</v>
      </c>
      <c r="BO87" s="217">
        <f t="shared" si="41"/>
        <v>0</v>
      </c>
      <c r="BP87" s="206"/>
      <c r="BQ87" s="277">
        <v>4</v>
      </c>
      <c r="BR87" s="208">
        <f t="shared" si="42"/>
        <v>0.58333333333333337</v>
      </c>
      <c r="BS87" s="219" t="str">
        <f t="shared" si="57"/>
        <v>Suministro de Equipos de Computo a la ADRES</v>
      </c>
      <c r="BT87" s="195">
        <f t="shared" si="30"/>
        <v>430201461.66666669</v>
      </c>
      <c r="BU87" s="196"/>
      <c r="BV87" s="196"/>
      <c r="BW87" s="196"/>
      <c r="BX87" s="196"/>
      <c r="BY87" s="196"/>
      <c r="BZ87" s="19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7" x14ac:dyDescent="0.25">
      <c r="A88" s="197">
        <v>11700</v>
      </c>
      <c r="B88" s="194" t="s">
        <v>29</v>
      </c>
      <c r="C88" s="198" t="s">
        <v>844</v>
      </c>
      <c r="D88" s="231" t="s">
        <v>153</v>
      </c>
      <c r="E88" s="232" t="s">
        <v>845</v>
      </c>
      <c r="F88" s="231" t="s">
        <v>133</v>
      </c>
      <c r="G88" s="233" t="s">
        <v>124</v>
      </c>
      <c r="H88" s="232">
        <v>4</v>
      </c>
      <c r="I88" s="232" t="s">
        <v>846</v>
      </c>
      <c r="J88" s="231" t="s">
        <v>24</v>
      </c>
      <c r="K88" s="234">
        <v>0</v>
      </c>
      <c r="L88" s="235">
        <v>1</v>
      </c>
      <c r="M88" s="231" t="s">
        <v>51</v>
      </c>
      <c r="N88" s="231" t="s">
        <v>68</v>
      </c>
      <c r="O88" s="231" t="s">
        <v>21</v>
      </c>
      <c r="P88" s="231" t="s">
        <v>36</v>
      </c>
      <c r="Q88" s="231" t="s">
        <v>75</v>
      </c>
      <c r="R88" s="231" t="s">
        <v>631</v>
      </c>
      <c r="S88" s="231" t="s">
        <v>98</v>
      </c>
      <c r="T88" s="232">
        <v>4</v>
      </c>
      <c r="U88" s="231" t="str">
        <f>+J88</f>
        <v>Reportar el cumplimiento del Plan de Acción de la Dependencia</v>
      </c>
      <c r="V88" s="236">
        <f>+K88</f>
        <v>0</v>
      </c>
      <c r="W88" s="237" t="s">
        <v>117</v>
      </c>
      <c r="X88" s="238">
        <v>1</v>
      </c>
      <c r="Y88" s="231" t="s">
        <v>24</v>
      </c>
      <c r="Z88" s="234">
        <v>0</v>
      </c>
      <c r="AA88" s="239"/>
      <c r="AB88" s="237"/>
      <c r="AC88" s="240">
        <f>+(AA88/X88)</f>
        <v>0</v>
      </c>
      <c r="AD88" s="240" t="e">
        <f>+(AB88/Z88)</f>
        <v>#DIV/0!</v>
      </c>
      <c r="AE88" s="240">
        <f>+(AA88/T88)</f>
        <v>0</v>
      </c>
      <c r="AF88" s="240" t="e">
        <f>+(AB88/V88)</f>
        <v>#DIV/0!</v>
      </c>
      <c r="AG88" s="238">
        <v>1</v>
      </c>
      <c r="AH88" s="231" t="s">
        <v>24</v>
      </c>
      <c r="AI88" s="234">
        <v>0</v>
      </c>
      <c r="AJ88" s="239"/>
      <c r="AK88" s="239"/>
      <c r="AL88" s="240">
        <f>+(AJ88/AG88)</f>
        <v>0</v>
      </c>
      <c r="AM88" s="240" t="e">
        <f>+(AK88/AI88)</f>
        <v>#DIV/0!</v>
      </c>
      <c r="AN88" s="240">
        <f>+(AJ88+AA88)/T88</f>
        <v>0</v>
      </c>
      <c r="AO88" s="240" t="e">
        <f>+(AK88+AB88)/V88</f>
        <v>#DIV/0!</v>
      </c>
      <c r="AP88" s="238">
        <v>1</v>
      </c>
      <c r="AQ88" s="231" t="s">
        <v>24</v>
      </c>
      <c r="AR88" s="234">
        <v>0</v>
      </c>
      <c r="AS88" s="239"/>
      <c r="AT88" s="239"/>
      <c r="AU88" s="240">
        <f>+(AS88/AP88)</f>
        <v>0</v>
      </c>
      <c r="AV88" s="240" t="e">
        <f>+(AT88/AR88)</f>
        <v>#DIV/0!</v>
      </c>
      <c r="AW88" s="240">
        <f>+(AJ88+AA88+AS88)/T88</f>
        <v>0</v>
      </c>
      <c r="AX88" s="240" t="e">
        <f>+(AK88+AB88+AT88)/V88</f>
        <v>#DIV/0!</v>
      </c>
      <c r="AY88" s="238">
        <v>1</v>
      </c>
      <c r="AZ88" s="231" t="s">
        <v>24</v>
      </c>
      <c r="BA88" s="234">
        <v>0</v>
      </c>
      <c r="BB88" s="239"/>
      <c r="BC88" s="239"/>
      <c r="BD88" s="240">
        <f>+(BB88/AY88)</f>
        <v>0</v>
      </c>
      <c r="BE88" s="240" t="e">
        <f>+(BC88/BA88)</f>
        <v>#DIV/0!</v>
      </c>
      <c r="BF88" s="240">
        <f>+(AJ88+AA88+AS88+BB88)/T88</f>
        <v>0</v>
      </c>
      <c r="BG88" s="240" t="e">
        <f>+(AK88+AB88+AT88+BC88)/V88</f>
        <v>#DIV/0!</v>
      </c>
      <c r="BH88" s="241"/>
      <c r="BI88" s="241"/>
      <c r="BJ88" s="241"/>
      <c r="BK88" s="241"/>
      <c r="BL88" s="241"/>
      <c r="BM88" s="241"/>
      <c r="BN88" s="241"/>
      <c r="BO88" s="241"/>
      <c r="BP88" s="242"/>
      <c r="BQ88" s="277">
        <v>5</v>
      </c>
      <c r="BR88" s="218">
        <f t="shared" si="42"/>
        <v>2.3333333333333335</v>
      </c>
      <c r="BS88" s="219" t="str">
        <f t="shared" si="57"/>
        <v>Reportar el cumplimiento del Plan de Acción de la Dependencia</v>
      </c>
      <c r="BT88" s="195">
        <f t="shared" si="30"/>
        <v>0</v>
      </c>
      <c r="BU88" s="196"/>
      <c r="BV88" s="196"/>
      <c r="BW88" s="196"/>
      <c r="BX88" s="196"/>
      <c r="BY88" s="196"/>
      <c r="BZ88" s="19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99.75" x14ac:dyDescent="0.25">
      <c r="A89" s="197">
        <v>11700</v>
      </c>
      <c r="B89" s="194" t="s">
        <v>29</v>
      </c>
      <c r="C89" s="198" t="s">
        <v>328</v>
      </c>
      <c r="D89" s="194" t="s">
        <v>256</v>
      </c>
      <c r="E89" s="198" t="s">
        <v>329</v>
      </c>
      <c r="F89" s="194" t="s">
        <v>159</v>
      </c>
      <c r="G89" s="209" t="s">
        <v>123</v>
      </c>
      <c r="H89" s="216">
        <v>1</v>
      </c>
      <c r="I89" s="198" t="s">
        <v>331</v>
      </c>
      <c r="J89" s="194" t="s">
        <v>156</v>
      </c>
      <c r="K89" s="210">
        <v>0</v>
      </c>
      <c r="L89" s="211">
        <v>1</v>
      </c>
      <c r="M89" s="194" t="s">
        <v>51</v>
      </c>
      <c r="N89" s="194" t="s">
        <v>68</v>
      </c>
      <c r="O89" s="194" t="s">
        <v>21</v>
      </c>
      <c r="P89" s="194" t="s">
        <v>36</v>
      </c>
      <c r="Q89" s="194" t="s">
        <v>75</v>
      </c>
      <c r="R89" s="194" t="s">
        <v>672</v>
      </c>
      <c r="S89" s="194" t="s">
        <v>98</v>
      </c>
      <c r="T89" s="211">
        <v>1</v>
      </c>
      <c r="U89" s="212" t="str">
        <f t="shared" si="43"/>
        <v>Formular los proceso y procedimientos en el marco del MIPG</v>
      </c>
      <c r="V89" s="213">
        <f t="shared" si="43"/>
        <v>0</v>
      </c>
      <c r="W89" s="214" t="s">
        <v>117</v>
      </c>
      <c r="X89" s="216">
        <v>0.25</v>
      </c>
      <c r="Y89" s="214" t="s">
        <v>156</v>
      </c>
      <c r="Z89" s="210">
        <v>0</v>
      </c>
      <c r="AA89" s="196"/>
      <c r="AB89" s="196"/>
      <c r="AC89" s="204">
        <f t="shared" si="44"/>
        <v>0</v>
      </c>
      <c r="AD89" s="204" t="e">
        <f t="shared" si="45"/>
        <v>#DIV/0!</v>
      </c>
      <c r="AE89" s="204">
        <f t="shared" si="31"/>
        <v>0</v>
      </c>
      <c r="AF89" s="204" t="e">
        <f t="shared" si="32"/>
        <v>#DIV/0!</v>
      </c>
      <c r="AG89" s="216">
        <v>0.25</v>
      </c>
      <c r="AH89" s="214" t="s">
        <v>156</v>
      </c>
      <c r="AI89" s="210">
        <v>0</v>
      </c>
      <c r="AJ89" s="196"/>
      <c r="AK89" s="196"/>
      <c r="AL89" s="204">
        <f t="shared" si="46"/>
        <v>0</v>
      </c>
      <c r="AM89" s="204" t="e">
        <f t="shared" si="33"/>
        <v>#DIV/0!</v>
      </c>
      <c r="AN89" s="204">
        <f t="shared" si="34"/>
        <v>0</v>
      </c>
      <c r="AO89" s="204" t="e">
        <f t="shared" si="35"/>
        <v>#DIV/0!</v>
      </c>
      <c r="AP89" s="216">
        <v>0.25</v>
      </c>
      <c r="AQ89" s="214" t="s">
        <v>156</v>
      </c>
      <c r="AR89" s="210">
        <v>0</v>
      </c>
      <c r="AS89" s="196"/>
      <c r="AT89" s="196"/>
      <c r="AU89" s="204">
        <f t="shared" si="47"/>
        <v>0</v>
      </c>
      <c r="AV89" s="204" t="e">
        <f t="shared" si="48"/>
        <v>#DIV/0!</v>
      </c>
      <c r="AW89" s="204">
        <f t="shared" si="49"/>
        <v>0</v>
      </c>
      <c r="AX89" s="204" t="e">
        <f t="shared" si="50"/>
        <v>#DIV/0!</v>
      </c>
      <c r="AY89" s="216">
        <v>0.25</v>
      </c>
      <c r="AZ89" s="214" t="s">
        <v>156</v>
      </c>
      <c r="BA89" s="210">
        <v>0</v>
      </c>
      <c r="BB89" s="196"/>
      <c r="BC89" s="196"/>
      <c r="BD89" s="216">
        <f t="shared" si="51"/>
        <v>0</v>
      </c>
      <c r="BE89" s="216" t="e">
        <f t="shared" si="52"/>
        <v>#DIV/0!</v>
      </c>
      <c r="BF89" s="216">
        <f t="shared" si="53"/>
        <v>0</v>
      </c>
      <c r="BG89" s="216" t="e">
        <f t="shared" si="54"/>
        <v>#DIV/0!</v>
      </c>
      <c r="BH89" s="217">
        <f t="shared" si="36"/>
        <v>0</v>
      </c>
      <c r="BI89" s="217" t="str">
        <f t="shared" si="37"/>
        <v>No Prog ni Ejec</v>
      </c>
      <c r="BJ89" s="217">
        <f t="shared" si="38"/>
        <v>0</v>
      </c>
      <c r="BK89" s="217" t="str">
        <f t="shared" si="39"/>
        <v>No Prog ni Ejec</v>
      </c>
      <c r="BL89" s="217">
        <f t="shared" si="55"/>
        <v>0</v>
      </c>
      <c r="BM89" s="217" t="str">
        <f t="shared" si="56"/>
        <v>No Prog ni Ejec</v>
      </c>
      <c r="BN89" s="217">
        <f t="shared" si="40"/>
        <v>0</v>
      </c>
      <c r="BO89" s="217" t="str">
        <f t="shared" si="41"/>
        <v>No Prog ni Ejec</v>
      </c>
      <c r="BP89" s="206"/>
      <c r="BQ89" s="277">
        <v>5</v>
      </c>
      <c r="BR89" s="208">
        <f t="shared" si="42"/>
        <v>0.58333333333333337</v>
      </c>
      <c r="BS89" s="219" t="str">
        <f t="shared" si="57"/>
        <v>Formular los proceso y procedimientos en el marco del MIPG</v>
      </c>
      <c r="BT89" s="195">
        <f t="shared" si="30"/>
        <v>0</v>
      </c>
      <c r="BU89" s="196"/>
      <c r="BV89" s="196"/>
      <c r="BW89" s="196"/>
      <c r="BX89" s="196"/>
      <c r="BY89" s="196"/>
      <c r="BZ89" s="19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99.75" x14ac:dyDescent="0.25">
      <c r="A90" s="197">
        <v>11700</v>
      </c>
      <c r="B90" s="194" t="s">
        <v>29</v>
      </c>
      <c r="C90" s="198" t="s">
        <v>328</v>
      </c>
      <c r="D90" s="194" t="s">
        <v>256</v>
      </c>
      <c r="E90" s="198" t="s">
        <v>330</v>
      </c>
      <c r="F90" s="194" t="s">
        <v>127</v>
      </c>
      <c r="G90" s="209" t="s">
        <v>123</v>
      </c>
      <c r="H90" s="211">
        <v>1</v>
      </c>
      <c r="I90" s="198" t="s">
        <v>332</v>
      </c>
      <c r="J90" s="194" t="s">
        <v>128</v>
      </c>
      <c r="K90" s="210">
        <v>0</v>
      </c>
      <c r="L90" s="211">
        <v>1</v>
      </c>
      <c r="M90" s="194" t="s">
        <v>51</v>
      </c>
      <c r="N90" s="194" t="s">
        <v>68</v>
      </c>
      <c r="O90" s="194" t="s">
        <v>21</v>
      </c>
      <c r="P90" s="194" t="s">
        <v>36</v>
      </c>
      <c r="Q90" s="194" t="s">
        <v>75</v>
      </c>
      <c r="R90" s="194" t="s">
        <v>570</v>
      </c>
      <c r="S90" s="194" t="s">
        <v>98</v>
      </c>
      <c r="T90" s="211">
        <v>1</v>
      </c>
      <c r="U90" s="212" t="str">
        <f t="shared" si="43"/>
        <v>Remitir informes trimestrales de los indicadores formulados y las acciones de mejoras</v>
      </c>
      <c r="V90" s="213">
        <f t="shared" si="43"/>
        <v>0</v>
      </c>
      <c r="W90" s="214" t="s">
        <v>117</v>
      </c>
      <c r="X90" s="216">
        <v>0</v>
      </c>
      <c r="Y90" s="214" t="s">
        <v>128</v>
      </c>
      <c r="Z90" s="210">
        <v>0</v>
      </c>
      <c r="AA90" s="196"/>
      <c r="AB90" s="196"/>
      <c r="AC90" s="204" t="e">
        <f t="shared" si="44"/>
        <v>#DIV/0!</v>
      </c>
      <c r="AD90" s="204" t="e">
        <f t="shared" si="45"/>
        <v>#DIV/0!</v>
      </c>
      <c r="AE90" s="204">
        <f t="shared" si="31"/>
        <v>0</v>
      </c>
      <c r="AF90" s="204" t="e">
        <f t="shared" si="32"/>
        <v>#DIV/0!</v>
      </c>
      <c r="AG90" s="216">
        <v>0</v>
      </c>
      <c r="AH90" s="214" t="s">
        <v>128</v>
      </c>
      <c r="AI90" s="210">
        <v>0</v>
      </c>
      <c r="AJ90" s="196"/>
      <c r="AK90" s="196"/>
      <c r="AL90" s="204" t="e">
        <f t="shared" si="46"/>
        <v>#DIV/0!</v>
      </c>
      <c r="AM90" s="204" t="e">
        <f t="shared" si="33"/>
        <v>#DIV/0!</v>
      </c>
      <c r="AN90" s="204">
        <f t="shared" si="34"/>
        <v>0</v>
      </c>
      <c r="AO90" s="204" t="e">
        <f t="shared" si="35"/>
        <v>#DIV/0!</v>
      </c>
      <c r="AP90" s="216">
        <v>0</v>
      </c>
      <c r="AQ90" s="214" t="s">
        <v>128</v>
      </c>
      <c r="AR90" s="210">
        <v>0</v>
      </c>
      <c r="AS90" s="196"/>
      <c r="AT90" s="196"/>
      <c r="AU90" s="204" t="e">
        <f t="shared" si="47"/>
        <v>#DIV/0!</v>
      </c>
      <c r="AV90" s="204" t="e">
        <f t="shared" si="48"/>
        <v>#DIV/0!</v>
      </c>
      <c r="AW90" s="204">
        <f t="shared" si="49"/>
        <v>0</v>
      </c>
      <c r="AX90" s="204" t="e">
        <f t="shared" si="50"/>
        <v>#DIV/0!</v>
      </c>
      <c r="AY90" s="216">
        <v>1</v>
      </c>
      <c r="AZ90" s="214" t="s">
        <v>128</v>
      </c>
      <c r="BA90" s="210">
        <v>0</v>
      </c>
      <c r="BB90" s="196"/>
      <c r="BC90" s="196"/>
      <c r="BD90" s="216">
        <f t="shared" si="51"/>
        <v>0</v>
      </c>
      <c r="BE90" s="216" t="e">
        <f t="shared" si="52"/>
        <v>#DIV/0!</v>
      </c>
      <c r="BF90" s="216">
        <f t="shared" si="53"/>
        <v>0</v>
      </c>
      <c r="BG90" s="216" t="e">
        <f t="shared" si="54"/>
        <v>#DIV/0!</v>
      </c>
      <c r="BH90" s="217" t="str">
        <f t="shared" si="36"/>
        <v>No Prog ni Ejec</v>
      </c>
      <c r="BI90" s="217" t="str">
        <f t="shared" si="37"/>
        <v>No Prog ni Ejec</v>
      </c>
      <c r="BJ90" s="217" t="str">
        <f t="shared" si="38"/>
        <v>No Prog ni Ejec</v>
      </c>
      <c r="BK90" s="217" t="str">
        <f t="shared" si="39"/>
        <v>No Prog ni Ejec</v>
      </c>
      <c r="BL90" s="217" t="str">
        <f t="shared" si="55"/>
        <v>No Prog ni Ejec</v>
      </c>
      <c r="BM90" s="217" t="str">
        <f t="shared" si="56"/>
        <v>No Prog ni Ejec</v>
      </c>
      <c r="BN90" s="217">
        <f t="shared" si="40"/>
        <v>0</v>
      </c>
      <c r="BO90" s="217" t="str">
        <f t="shared" si="41"/>
        <v>No Prog ni Ejec</v>
      </c>
      <c r="BP90" s="206"/>
      <c r="BQ90" s="277">
        <v>5</v>
      </c>
      <c r="BR90" s="208">
        <f t="shared" si="42"/>
        <v>0</v>
      </c>
      <c r="BS90" s="219" t="str">
        <f t="shared" si="57"/>
        <v>Remitir informes trimestrales de los indicadores formulados y las acciones de mejoras</v>
      </c>
      <c r="BT90" s="195">
        <f t="shared" si="30"/>
        <v>0</v>
      </c>
      <c r="BU90" s="196"/>
      <c r="BV90" s="196"/>
      <c r="BW90" s="196"/>
      <c r="BX90" s="196"/>
      <c r="BY90" s="196"/>
      <c r="BZ90" s="19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99.75" x14ac:dyDescent="0.25">
      <c r="A91" s="197">
        <v>11700</v>
      </c>
      <c r="B91" s="194" t="s">
        <v>29</v>
      </c>
      <c r="C91" s="198" t="s">
        <v>328</v>
      </c>
      <c r="D91" s="194" t="s">
        <v>256</v>
      </c>
      <c r="E91" s="198" t="s">
        <v>376</v>
      </c>
      <c r="F91" s="194" t="s">
        <v>380</v>
      </c>
      <c r="G91" s="209" t="s">
        <v>123</v>
      </c>
      <c r="H91" s="216">
        <v>1</v>
      </c>
      <c r="I91" s="198" t="s">
        <v>377</v>
      </c>
      <c r="J91" s="194" t="s">
        <v>378</v>
      </c>
      <c r="K91" s="210">
        <v>27749428000</v>
      </c>
      <c r="L91" s="211">
        <v>1</v>
      </c>
      <c r="M91" s="194" t="s">
        <v>46</v>
      </c>
      <c r="N91" s="194" t="s">
        <v>68</v>
      </c>
      <c r="O91" s="194" t="s">
        <v>37</v>
      </c>
      <c r="P91" s="194" t="s">
        <v>38</v>
      </c>
      <c r="Q91" s="194" t="s">
        <v>219</v>
      </c>
      <c r="R91" s="194" t="s">
        <v>182</v>
      </c>
      <c r="S91" s="194" t="s">
        <v>99</v>
      </c>
      <c r="T91" s="211">
        <v>1</v>
      </c>
      <c r="U91" s="212" t="str">
        <f t="shared" si="43"/>
        <v>Efectuar los tramites asociados al pago de nomina de los funcionarios de la ADRES</v>
      </c>
      <c r="V91" s="213">
        <f t="shared" si="43"/>
        <v>27749428000</v>
      </c>
      <c r="W91" s="222" t="s">
        <v>114</v>
      </c>
      <c r="X91" s="281">
        <v>0.25</v>
      </c>
      <c r="Y91" s="282" t="s">
        <v>378</v>
      </c>
      <c r="Z91" s="283">
        <v>6937357000</v>
      </c>
      <c r="AA91" s="279"/>
      <c r="AB91" s="279"/>
      <c r="AC91" s="280">
        <f>+(AA91/X91)</f>
        <v>0</v>
      </c>
      <c r="AD91" s="280">
        <f t="shared" si="45"/>
        <v>0</v>
      </c>
      <c r="AE91" s="280">
        <f t="shared" si="31"/>
        <v>0</v>
      </c>
      <c r="AF91" s="280">
        <f t="shared" si="32"/>
        <v>0</v>
      </c>
      <c r="AG91" s="281">
        <v>0.25</v>
      </c>
      <c r="AH91" s="282" t="s">
        <v>378</v>
      </c>
      <c r="AI91" s="283">
        <v>6937357000</v>
      </c>
      <c r="AJ91" s="279"/>
      <c r="AK91" s="279"/>
      <c r="AL91" s="280">
        <f t="shared" si="46"/>
        <v>0</v>
      </c>
      <c r="AM91" s="280">
        <f t="shared" si="33"/>
        <v>0</v>
      </c>
      <c r="AN91" s="280">
        <f t="shared" si="34"/>
        <v>0</v>
      </c>
      <c r="AO91" s="280">
        <f t="shared" si="35"/>
        <v>0</v>
      </c>
      <c r="AP91" s="281">
        <v>0.25</v>
      </c>
      <c r="AQ91" s="282" t="s">
        <v>378</v>
      </c>
      <c r="AR91" s="283">
        <v>6937357000</v>
      </c>
      <c r="AS91" s="279"/>
      <c r="AT91" s="279"/>
      <c r="AU91" s="280">
        <f t="shared" si="47"/>
        <v>0</v>
      </c>
      <c r="AV91" s="280">
        <f t="shared" si="48"/>
        <v>0</v>
      </c>
      <c r="AW91" s="280">
        <f t="shared" si="49"/>
        <v>0</v>
      </c>
      <c r="AX91" s="280">
        <f t="shared" si="50"/>
        <v>0</v>
      </c>
      <c r="AY91" s="281">
        <v>0.25</v>
      </c>
      <c r="AZ91" s="282" t="s">
        <v>378</v>
      </c>
      <c r="BA91" s="283">
        <v>6937357000</v>
      </c>
      <c r="BB91" s="279"/>
      <c r="BC91" s="279"/>
      <c r="BD91" s="281">
        <f t="shared" si="51"/>
        <v>0</v>
      </c>
      <c r="BE91" s="281">
        <f t="shared" si="52"/>
        <v>0</v>
      </c>
      <c r="BF91" s="281">
        <f t="shared" si="53"/>
        <v>0</v>
      </c>
      <c r="BG91" s="281">
        <f t="shared" si="54"/>
        <v>0</v>
      </c>
      <c r="BH91" s="205">
        <f>IF(AND(X91=0,AA91=0),"No Prog ni Ejec",IF(X91=0,CONCATENATE("No Prog, Ejec=  ",AA91),AA91/X91))</f>
        <v>0</v>
      </c>
      <c r="BI91" s="205">
        <f t="shared" si="37"/>
        <v>0</v>
      </c>
      <c r="BJ91" s="205">
        <f t="shared" si="38"/>
        <v>0</v>
      </c>
      <c r="BK91" s="205">
        <f t="shared" si="39"/>
        <v>0</v>
      </c>
      <c r="BL91" s="205">
        <f t="shared" si="55"/>
        <v>0</v>
      </c>
      <c r="BM91" s="205">
        <f t="shared" si="56"/>
        <v>0</v>
      </c>
      <c r="BN91" s="205">
        <f t="shared" si="40"/>
        <v>0</v>
      </c>
      <c r="BO91" s="205">
        <f t="shared" si="41"/>
        <v>0</v>
      </c>
      <c r="BP91" s="206"/>
      <c r="BQ91" s="277">
        <v>7</v>
      </c>
      <c r="BR91" s="208">
        <f t="shared" si="42"/>
        <v>0.58333333333333337</v>
      </c>
      <c r="BS91" s="219" t="str">
        <f t="shared" si="57"/>
        <v>Efectuar los tramites asociados al pago de nomina de los funcionarios de la ADRES</v>
      </c>
      <c r="BT91" s="195">
        <f t="shared" si="30"/>
        <v>16187166333.333334</v>
      </c>
      <c r="BU91" s="196"/>
      <c r="BV91" s="196"/>
      <c r="BW91" s="196"/>
      <c r="BX91" s="196"/>
      <c r="BY91" s="196"/>
      <c r="BZ91" s="19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99.75" x14ac:dyDescent="0.25">
      <c r="A92" s="197">
        <v>11700</v>
      </c>
      <c r="B92" s="194" t="s">
        <v>29</v>
      </c>
      <c r="C92" s="198" t="s">
        <v>328</v>
      </c>
      <c r="D92" s="194" t="s">
        <v>256</v>
      </c>
      <c r="E92" s="198" t="s">
        <v>330</v>
      </c>
      <c r="F92" s="194" t="s">
        <v>380</v>
      </c>
      <c r="G92" s="209" t="s">
        <v>123</v>
      </c>
      <c r="H92" s="216">
        <v>1</v>
      </c>
      <c r="I92" s="198" t="s">
        <v>751</v>
      </c>
      <c r="J92" s="194" t="s">
        <v>752</v>
      </c>
      <c r="K92" s="210">
        <v>1000000000</v>
      </c>
      <c r="L92" s="211">
        <v>1</v>
      </c>
      <c r="M92" s="194" t="s">
        <v>46</v>
      </c>
      <c r="N92" s="194" t="s">
        <v>68</v>
      </c>
      <c r="O92" s="194" t="s">
        <v>37</v>
      </c>
      <c r="P92" s="194" t="s">
        <v>38</v>
      </c>
      <c r="Q92" s="194" t="s">
        <v>219</v>
      </c>
      <c r="R92" s="194" t="s">
        <v>379</v>
      </c>
      <c r="S92" s="194" t="s">
        <v>99</v>
      </c>
      <c r="T92" s="211">
        <v>1</v>
      </c>
      <c r="U92" s="212" t="str">
        <f t="shared" si="43"/>
        <v>Efectuar los tramites asociados al pago de las Transferencias de la ADRES</v>
      </c>
      <c r="V92" s="213">
        <f t="shared" si="43"/>
        <v>1000000000</v>
      </c>
      <c r="W92" s="222" t="s">
        <v>114</v>
      </c>
      <c r="X92" s="281">
        <v>0.25</v>
      </c>
      <c r="Y92" s="282" t="s">
        <v>381</v>
      </c>
      <c r="Z92" s="283">
        <f>+X92*V92</f>
        <v>250000000</v>
      </c>
      <c r="AA92" s="279"/>
      <c r="AB92" s="279"/>
      <c r="AC92" s="280">
        <f t="shared" si="44"/>
        <v>0</v>
      </c>
      <c r="AD92" s="280">
        <f t="shared" si="45"/>
        <v>0</v>
      </c>
      <c r="AE92" s="280">
        <f t="shared" si="31"/>
        <v>0</v>
      </c>
      <c r="AF92" s="280">
        <f t="shared" si="32"/>
        <v>0</v>
      </c>
      <c r="AG92" s="281">
        <v>0.25</v>
      </c>
      <c r="AH92" s="282" t="s">
        <v>381</v>
      </c>
      <c r="AI92" s="283">
        <v>250000000</v>
      </c>
      <c r="AJ92" s="279"/>
      <c r="AK92" s="279"/>
      <c r="AL92" s="280">
        <f t="shared" si="46"/>
        <v>0</v>
      </c>
      <c r="AM92" s="280">
        <f t="shared" si="33"/>
        <v>0</v>
      </c>
      <c r="AN92" s="280">
        <f t="shared" si="34"/>
        <v>0</v>
      </c>
      <c r="AO92" s="280">
        <f t="shared" si="35"/>
        <v>0</v>
      </c>
      <c r="AP92" s="281">
        <v>0.25</v>
      </c>
      <c r="AQ92" s="282" t="s">
        <v>381</v>
      </c>
      <c r="AR92" s="283">
        <v>250000000</v>
      </c>
      <c r="AS92" s="279"/>
      <c r="AT92" s="279"/>
      <c r="AU92" s="280">
        <f t="shared" si="47"/>
        <v>0</v>
      </c>
      <c r="AV92" s="280">
        <f t="shared" si="48"/>
        <v>0</v>
      </c>
      <c r="AW92" s="280">
        <f t="shared" si="49"/>
        <v>0</v>
      </c>
      <c r="AX92" s="280">
        <f t="shared" si="50"/>
        <v>0</v>
      </c>
      <c r="AY92" s="281">
        <v>0.25</v>
      </c>
      <c r="AZ92" s="282" t="s">
        <v>381</v>
      </c>
      <c r="BA92" s="283">
        <v>250000000</v>
      </c>
      <c r="BB92" s="279"/>
      <c r="BC92" s="279"/>
      <c r="BD92" s="281">
        <f t="shared" si="51"/>
        <v>0</v>
      </c>
      <c r="BE92" s="281">
        <f t="shared" si="52"/>
        <v>0</v>
      </c>
      <c r="BF92" s="281">
        <f t="shared" si="53"/>
        <v>0</v>
      </c>
      <c r="BG92" s="281">
        <f t="shared" si="54"/>
        <v>0</v>
      </c>
      <c r="BH92" s="205">
        <f t="shared" si="36"/>
        <v>0</v>
      </c>
      <c r="BI92" s="205">
        <f t="shared" si="37"/>
        <v>0</v>
      </c>
      <c r="BJ92" s="205">
        <f t="shared" si="38"/>
        <v>0</v>
      </c>
      <c r="BK92" s="205">
        <f t="shared" si="39"/>
        <v>0</v>
      </c>
      <c r="BL92" s="205">
        <f t="shared" si="55"/>
        <v>0</v>
      </c>
      <c r="BM92" s="205">
        <f t="shared" si="56"/>
        <v>0</v>
      </c>
      <c r="BN92" s="205">
        <f t="shared" si="40"/>
        <v>0</v>
      </c>
      <c r="BO92" s="205">
        <f t="shared" si="41"/>
        <v>0</v>
      </c>
      <c r="BP92" s="206"/>
      <c r="BQ92" s="277">
        <v>7</v>
      </c>
      <c r="BR92" s="208">
        <f t="shared" si="42"/>
        <v>0.58333333333333337</v>
      </c>
      <c r="BS92" s="219" t="str">
        <f t="shared" si="57"/>
        <v>Efectuar los tramites asociados al pago de las Transferencias de la ADRES</v>
      </c>
      <c r="BT92" s="195">
        <f t="shared" si="30"/>
        <v>583333333.33333337</v>
      </c>
      <c r="BU92" s="196"/>
      <c r="BV92" s="196"/>
      <c r="BW92" s="196"/>
      <c r="BX92" s="196"/>
      <c r="BY92" s="196"/>
      <c r="BZ92" s="19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99.75" x14ac:dyDescent="0.25">
      <c r="A93" s="197">
        <v>11700</v>
      </c>
      <c r="B93" s="194" t="s">
        <v>29</v>
      </c>
      <c r="C93" s="198" t="s">
        <v>328</v>
      </c>
      <c r="D93" s="194" t="s">
        <v>256</v>
      </c>
      <c r="E93" s="198" t="s">
        <v>330</v>
      </c>
      <c r="F93" s="194" t="s">
        <v>380</v>
      </c>
      <c r="G93" s="209" t="s">
        <v>123</v>
      </c>
      <c r="H93" s="216">
        <v>1</v>
      </c>
      <c r="I93" s="198" t="s">
        <v>753</v>
      </c>
      <c r="J93" s="194" t="s">
        <v>754</v>
      </c>
      <c r="K93" s="210">
        <v>13118070672</v>
      </c>
      <c r="L93" s="211">
        <v>1</v>
      </c>
      <c r="M93" s="194" t="s">
        <v>46</v>
      </c>
      <c r="N93" s="194" t="s">
        <v>68</v>
      </c>
      <c r="O93" s="194" t="s">
        <v>37</v>
      </c>
      <c r="P93" s="194" t="s">
        <v>38</v>
      </c>
      <c r="Q93" s="194" t="s">
        <v>219</v>
      </c>
      <c r="R93" s="194" t="s">
        <v>379</v>
      </c>
      <c r="S93" s="194" t="s">
        <v>99</v>
      </c>
      <c r="T93" s="211">
        <v>1</v>
      </c>
      <c r="U93" s="212" t="str">
        <f t="shared" si="43"/>
        <v>Efectuar los tramites asociados a la ejecución de otros recursos asignados a la ADRES</v>
      </c>
      <c r="V93" s="213">
        <f t="shared" si="43"/>
        <v>13118070672</v>
      </c>
      <c r="W93" s="222" t="s">
        <v>114</v>
      </c>
      <c r="X93" s="281">
        <v>0.25</v>
      </c>
      <c r="Y93" s="282" t="s">
        <v>386</v>
      </c>
      <c r="Z93" s="283">
        <f>+X93*V93</f>
        <v>3279517668</v>
      </c>
      <c r="AA93" s="279"/>
      <c r="AB93" s="279"/>
      <c r="AC93" s="280">
        <f t="shared" si="44"/>
        <v>0</v>
      </c>
      <c r="AD93" s="280">
        <f t="shared" si="45"/>
        <v>0</v>
      </c>
      <c r="AE93" s="280">
        <f t="shared" si="31"/>
        <v>0</v>
      </c>
      <c r="AF93" s="280">
        <f t="shared" si="32"/>
        <v>0</v>
      </c>
      <c r="AG93" s="281">
        <v>0.25</v>
      </c>
      <c r="AH93" s="282" t="s">
        <v>386</v>
      </c>
      <c r="AI93" s="283">
        <v>3279517668</v>
      </c>
      <c r="AJ93" s="279"/>
      <c r="AK93" s="279"/>
      <c r="AL93" s="280">
        <f t="shared" si="46"/>
        <v>0</v>
      </c>
      <c r="AM93" s="280">
        <f t="shared" si="33"/>
        <v>0</v>
      </c>
      <c r="AN93" s="280">
        <f t="shared" si="34"/>
        <v>0</v>
      </c>
      <c r="AO93" s="280">
        <f t="shared" si="35"/>
        <v>0</v>
      </c>
      <c r="AP93" s="281">
        <v>0.25</v>
      </c>
      <c r="AQ93" s="282" t="s">
        <v>386</v>
      </c>
      <c r="AR93" s="283">
        <v>3279517668</v>
      </c>
      <c r="AS93" s="279"/>
      <c r="AT93" s="279"/>
      <c r="AU93" s="280">
        <f t="shared" si="47"/>
        <v>0</v>
      </c>
      <c r="AV93" s="280">
        <f t="shared" si="48"/>
        <v>0</v>
      </c>
      <c r="AW93" s="280">
        <f t="shared" si="49"/>
        <v>0</v>
      </c>
      <c r="AX93" s="280">
        <f t="shared" si="50"/>
        <v>0</v>
      </c>
      <c r="AY93" s="281">
        <v>0.25</v>
      </c>
      <c r="AZ93" s="282" t="s">
        <v>386</v>
      </c>
      <c r="BA93" s="283">
        <v>3279517668</v>
      </c>
      <c r="BB93" s="279"/>
      <c r="BC93" s="279"/>
      <c r="BD93" s="281">
        <f t="shared" si="51"/>
        <v>0</v>
      </c>
      <c r="BE93" s="281">
        <f t="shared" si="52"/>
        <v>0</v>
      </c>
      <c r="BF93" s="281">
        <f t="shared" si="53"/>
        <v>0</v>
      </c>
      <c r="BG93" s="281">
        <f t="shared" si="54"/>
        <v>0</v>
      </c>
      <c r="BH93" s="205">
        <f t="shared" si="36"/>
        <v>0</v>
      </c>
      <c r="BI93" s="205">
        <f t="shared" si="37"/>
        <v>0</v>
      </c>
      <c r="BJ93" s="205">
        <f t="shared" si="38"/>
        <v>0</v>
      </c>
      <c r="BK93" s="205">
        <f t="shared" si="39"/>
        <v>0</v>
      </c>
      <c r="BL93" s="205">
        <f t="shared" si="55"/>
        <v>0</v>
      </c>
      <c r="BM93" s="205">
        <f t="shared" si="56"/>
        <v>0</v>
      </c>
      <c r="BN93" s="205">
        <f t="shared" si="40"/>
        <v>0</v>
      </c>
      <c r="BO93" s="205">
        <f t="shared" si="41"/>
        <v>0</v>
      </c>
      <c r="BP93" s="206"/>
      <c r="BQ93" s="277">
        <v>7</v>
      </c>
      <c r="BR93" s="208">
        <f t="shared" si="42"/>
        <v>0.58333333333333337</v>
      </c>
      <c r="BS93" s="219" t="str">
        <f t="shared" si="57"/>
        <v>Efectuar los tramites asociados a la ejecución de otros recursos asignados a la ADRES</v>
      </c>
      <c r="BT93" s="195">
        <f t="shared" si="30"/>
        <v>7652207892</v>
      </c>
      <c r="BU93" s="196"/>
      <c r="BV93" s="196"/>
      <c r="BW93" s="196"/>
      <c r="BX93" s="196"/>
      <c r="BY93" s="196"/>
      <c r="BZ93" s="19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99.75" x14ac:dyDescent="0.25">
      <c r="A94" s="197">
        <v>11700</v>
      </c>
      <c r="B94" s="194" t="s">
        <v>29</v>
      </c>
      <c r="C94" s="198" t="s">
        <v>328</v>
      </c>
      <c r="D94" s="194" t="s">
        <v>256</v>
      </c>
      <c r="E94" s="198" t="s">
        <v>383</v>
      </c>
      <c r="F94" s="194" t="s">
        <v>382</v>
      </c>
      <c r="G94" s="209" t="s">
        <v>384</v>
      </c>
      <c r="H94" s="198">
        <v>12</v>
      </c>
      <c r="I94" s="198" t="s">
        <v>388</v>
      </c>
      <c r="J94" s="194" t="s">
        <v>381</v>
      </c>
      <c r="K94" s="210">
        <v>0</v>
      </c>
      <c r="L94" s="211">
        <v>1</v>
      </c>
      <c r="M94" s="194" t="s">
        <v>46</v>
      </c>
      <c r="N94" s="194" t="s">
        <v>68</v>
      </c>
      <c r="O94" s="194" t="s">
        <v>37</v>
      </c>
      <c r="P94" s="194" t="s">
        <v>38</v>
      </c>
      <c r="Q94" s="194" t="s">
        <v>219</v>
      </c>
      <c r="R94" s="194" t="s">
        <v>626</v>
      </c>
      <c r="S94" s="194" t="s">
        <v>99</v>
      </c>
      <c r="T94" s="198">
        <v>12</v>
      </c>
      <c r="U94" s="212" t="str">
        <f t="shared" si="43"/>
        <v>Seguimiento a la ejecución presupuestal, PAC y Reservas</v>
      </c>
      <c r="V94" s="213">
        <f t="shared" si="43"/>
        <v>0</v>
      </c>
      <c r="W94" s="214" t="s">
        <v>117</v>
      </c>
      <c r="X94" s="215">
        <v>3</v>
      </c>
      <c r="Y94" s="214" t="s">
        <v>381</v>
      </c>
      <c r="Z94" s="210">
        <v>0</v>
      </c>
      <c r="AA94" s="196"/>
      <c r="AB94" s="196"/>
      <c r="AC94" s="204">
        <f t="shared" si="44"/>
        <v>0</v>
      </c>
      <c r="AD94" s="204" t="e">
        <f t="shared" si="45"/>
        <v>#DIV/0!</v>
      </c>
      <c r="AE94" s="204">
        <f t="shared" si="31"/>
        <v>0</v>
      </c>
      <c r="AF94" s="204" t="e">
        <f t="shared" si="32"/>
        <v>#DIV/0!</v>
      </c>
      <c r="AG94" s="215">
        <v>3</v>
      </c>
      <c r="AH94" s="214" t="s">
        <v>381</v>
      </c>
      <c r="AI94" s="210">
        <v>0</v>
      </c>
      <c r="AJ94" s="196"/>
      <c r="AK94" s="196"/>
      <c r="AL94" s="204">
        <f t="shared" si="46"/>
        <v>0</v>
      </c>
      <c r="AM94" s="204" t="e">
        <f t="shared" si="33"/>
        <v>#DIV/0!</v>
      </c>
      <c r="AN94" s="204">
        <f t="shared" si="34"/>
        <v>0</v>
      </c>
      <c r="AO94" s="204" t="e">
        <f t="shared" si="35"/>
        <v>#DIV/0!</v>
      </c>
      <c r="AP94" s="215">
        <v>3</v>
      </c>
      <c r="AQ94" s="214" t="s">
        <v>381</v>
      </c>
      <c r="AR94" s="210">
        <v>0</v>
      </c>
      <c r="AS94" s="196"/>
      <c r="AT94" s="196"/>
      <c r="AU94" s="204">
        <f t="shared" si="47"/>
        <v>0</v>
      </c>
      <c r="AV94" s="204" t="e">
        <f t="shared" si="48"/>
        <v>#DIV/0!</v>
      </c>
      <c r="AW94" s="204">
        <f t="shared" si="49"/>
        <v>0</v>
      </c>
      <c r="AX94" s="204" t="e">
        <f t="shared" si="50"/>
        <v>#DIV/0!</v>
      </c>
      <c r="AY94" s="215">
        <v>3</v>
      </c>
      <c r="AZ94" s="214" t="s">
        <v>381</v>
      </c>
      <c r="BA94" s="210">
        <v>0</v>
      </c>
      <c r="BB94" s="196"/>
      <c r="BC94" s="196"/>
      <c r="BD94" s="216">
        <f t="shared" si="51"/>
        <v>0</v>
      </c>
      <c r="BE94" s="216" t="e">
        <f t="shared" si="52"/>
        <v>#DIV/0!</v>
      </c>
      <c r="BF94" s="216">
        <f t="shared" si="53"/>
        <v>0</v>
      </c>
      <c r="BG94" s="216" t="e">
        <f t="shared" si="54"/>
        <v>#DIV/0!</v>
      </c>
      <c r="BH94" s="207">
        <f t="shared" si="36"/>
        <v>0</v>
      </c>
      <c r="BI94" s="207" t="str">
        <f t="shared" si="37"/>
        <v>No Prog ni Ejec</v>
      </c>
      <c r="BJ94" s="207">
        <f t="shared" si="38"/>
        <v>0</v>
      </c>
      <c r="BK94" s="207" t="str">
        <f t="shared" si="39"/>
        <v>No Prog ni Ejec</v>
      </c>
      <c r="BL94" s="207">
        <f t="shared" si="55"/>
        <v>0</v>
      </c>
      <c r="BM94" s="207" t="str">
        <f t="shared" si="56"/>
        <v>No Prog ni Ejec</v>
      </c>
      <c r="BN94" s="207">
        <f t="shared" si="40"/>
        <v>0</v>
      </c>
      <c r="BO94" s="207" t="str">
        <f t="shared" si="41"/>
        <v>No Prog ni Ejec</v>
      </c>
      <c r="BP94" s="206"/>
      <c r="BQ94" s="277">
        <v>7</v>
      </c>
      <c r="BR94" s="218">
        <f t="shared" si="42"/>
        <v>7</v>
      </c>
      <c r="BS94" s="219" t="str">
        <f t="shared" si="57"/>
        <v>Seguimiento a la ejecución presupuestal, PAC y Reservas</v>
      </c>
      <c r="BT94" s="195">
        <f t="shared" si="30"/>
        <v>0</v>
      </c>
      <c r="BU94" s="196"/>
      <c r="BV94" s="196"/>
      <c r="BW94" s="196"/>
      <c r="BX94" s="196"/>
      <c r="BY94" s="196"/>
      <c r="BZ94" s="19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99.75" x14ac:dyDescent="0.25">
      <c r="A95" s="197">
        <v>11700</v>
      </c>
      <c r="B95" s="194" t="s">
        <v>29</v>
      </c>
      <c r="C95" s="198" t="s">
        <v>328</v>
      </c>
      <c r="D95" s="194" t="s">
        <v>256</v>
      </c>
      <c r="E95" s="198" t="s">
        <v>385</v>
      </c>
      <c r="F95" s="194" t="s">
        <v>387</v>
      </c>
      <c r="G95" s="209" t="s">
        <v>384</v>
      </c>
      <c r="H95" s="198">
        <v>4</v>
      </c>
      <c r="I95" s="198" t="s">
        <v>389</v>
      </c>
      <c r="J95" s="194" t="s">
        <v>386</v>
      </c>
      <c r="K95" s="210">
        <v>0</v>
      </c>
      <c r="L95" s="211">
        <v>1</v>
      </c>
      <c r="M95" s="194" t="s">
        <v>46</v>
      </c>
      <c r="N95" s="194" t="s">
        <v>68</v>
      </c>
      <c r="O95" s="194" t="s">
        <v>37</v>
      </c>
      <c r="P95" s="194" t="s">
        <v>38</v>
      </c>
      <c r="Q95" s="194" t="s">
        <v>219</v>
      </c>
      <c r="R95" s="194" t="s">
        <v>627</v>
      </c>
      <c r="S95" s="194" t="s">
        <v>99</v>
      </c>
      <c r="T95" s="198">
        <v>4</v>
      </c>
      <c r="U95" s="212" t="str">
        <f t="shared" si="43"/>
        <v>Informes Estados Financieros (Balance General y Estado de Resultados) de la UGG</v>
      </c>
      <c r="V95" s="213">
        <f t="shared" si="43"/>
        <v>0</v>
      </c>
      <c r="W95" s="214" t="s">
        <v>117</v>
      </c>
      <c r="X95" s="215">
        <v>1</v>
      </c>
      <c r="Y95" s="214" t="s">
        <v>386</v>
      </c>
      <c r="Z95" s="210">
        <v>0</v>
      </c>
      <c r="AA95" s="196"/>
      <c r="AB95" s="196"/>
      <c r="AC95" s="204">
        <f t="shared" si="44"/>
        <v>0</v>
      </c>
      <c r="AD95" s="204" t="e">
        <f t="shared" si="45"/>
        <v>#DIV/0!</v>
      </c>
      <c r="AE95" s="204">
        <f t="shared" si="31"/>
        <v>0</v>
      </c>
      <c r="AF95" s="204" t="e">
        <f t="shared" si="32"/>
        <v>#DIV/0!</v>
      </c>
      <c r="AG95" s="215">
        <v>1</v>
      </c>
      <c r="AH95" s="214" t="s">
        <v>386</v>
      </c>
      <c r="AI95" s="210">
        <v>0</v>
      </c>
      <c r="AJ95" s="196"/>
      <c r="AK95" s="196"/>
      <c r="AL95" s="204">
        <f t="shared" si="46"/>
        <v>0</v>
      </c>
      <c r="AM95" s="204" t="e">
        <f t="shared" si="33"/>
        <v>#DIV/0!</v>
      </c>
      <c r="AN95" s="204">
        <f t="shared" si="34"/>
        <v>0</v>
      </c>
      <c r="AO95" s="204" t="e">
        <f t="shared" si="35"/>
        <v>#DIV/0!</v>
      </c>
      <c r="AP95" s="215">
        <v>1</v>
      </c>
      <c r="AQ95" s="214" t="s">
        <v>386</v>
      </c>
      <c r="AR95" s="210">
        <v>0</v>
      </c>
      <c r="AS95" s="196"/>
      <c r="AT95" s="196"/>
      <c r="AU95" s="204">
        <f t="shared" si="47"/>
        <v>0</v>
      </c>
      <c r="AV95" s="204" t="e">
        <f t="shared" si="48"/>
        <v>#DIV/0!</v>
      </c>
      <c r="AW95" s="204">
        <f t="shared" si="49"/>
        <v>0</v>
      </c>
      <c r="AX95" s="204" t="e">
        <f t="shared" si="50"/>
        <v>#DIV/0!</v>
      </c>
      <c r="AY95" s="215">
        <v>1</v>
      </c>
      <c r="AZ95" s="214" t="s">
        <v>386</v>
      </c>
      <c r="BA95" s="210">
        <v>0</v>
      </c>
      <c r="BB95" s="196"/>
      <c r="BC95" s="196"/>
      <c r="BD95" s="216">
        <f t="shared" si="51"/>
        <v>0</v>
      </c>
      <c r="BE95" s="216" t="e">
        <f t="shared" si="52"/>
        <v>#DIV/0!</v>
      </c>
      <c r="BF95" s="216">
        <f t="shared" si="53"/>
        <v>0</v>
      </c>
      <c r="BG95" s="216" t="e">
        <f t="shared" si="54"/>
        <v>#DIV/0!</v>
      </c>
      <c r="BH95" s="207">
        <f t="shared" si="36"/>
        <v>0</v>
      </c>
      <c r="BI95" s="207" t="str">
        <f t="shared" si="37"/>
        <v>No Prog ni Ejec</v>
      </c>
      <c r="BJ95" s="207">
        <f t="shared" si="38"/>
        <v>0</v>
      </c>
      <c r="BK95" s="207" t="str">
        <f t="shared" si="39"/>
        <v>No Prog ni Ejec</v>
      </c>
      <c r="BL95" s="207">
        <f t="shared" si="55"/>
        <v>0</v>
      </c>
      <c r="BM95" s="207" t="str">
        <f t="shared" si="56"/>
        <v>No Prog ni Ejec</v>
      </c>
      <c r="BN95" s="207">
        <f t="shared" si="40"/>
        <v>0</v>
      </c>
      <c r="BO95" s="207" t="str">
        <f t="shared" si="41"/>
        <v>No Prog ni Ejec</v>
      </c>
      <c r="BP95" s="206"/>
      <c r="BQ95" s="277">
        <v>7</v>
      </c>
      <c r="BR95" s="218">
        <f t="shared" si="42"/>
        <v>2.3333333333333335</v>
      </c>
      <c r="BS95" s="219" t="str">
        <f t="shared" si="57"/>
        <v>Informes Estados Financieros (Balance General y Estado de Resultados) de la UGG</v>
      </c>
      <c r="BT95" s="195">
        <f t="shared" si="30"/>
        <v>0</v>
      </c>
      <c r="BU95" s="196"/>
      <c r="BV95" s="196"/>
      <c r="BW95" s="196"/>
      <c r="BX95" s="196"/>
      <c r="BY95" s="196"/>
      <c r="BZ95" s="19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99.75" x14ac:dyDescent="0.25">
      <c r="A96" s="197">
        <v>11700</v>
      </c>
      <c r="B96" s="194" t="s">
        <v>29</v>
      </c>
      <c r="C96" s="198" t="s">
        <v>328</v>
      </c>
      <c r="D96" s="194" t="s">
        <v>256</v>
      </c>
      <c r="E96" s="198" t="s">
        <v>391</v>
      </c>
      <c r="F96" s="194" t="s">
        <v>393</v>
      </c>
      <c r="G96" s="209" t="s">
        <v>384</v>
      </c>
      <c r="H96" s="198">
        <v>4</v>
      </c>
      <c r="I96" s="198" t="s">
        <v>392</v>
      </c>
      <c r="J96" s="194" t="s">
        <v>390</v>
      </c>
      <c r="K96" s="210">
        <v>0</v>
      </c>
      <c r="L96" s="211">
        <v>1</v>
      </c>
      <c r="M96" s="194" t="s">
        <v>46</v>
      </c>
      <c r="N96" s="194" t="s">
        <v>68</v>
      </c>
      <c r="O96" s="194" t="s">
        <v>37</v>
      </c>
      <c r="P96" s="194" t="s">
        <v>38</v>
      </c>
      <c r="Q96" s="194" t="s">
        <v>219</v>
      </c>
      <c r="R96" s="194" t="s">
        <v>628</v>
      </c>
      <c r="S96" s="194" t="s">
        <v>99</v>
      </c>
      <c r="T96" s="198">
        <v>4</v>
      </c>
      <c r="U96" s="212" t="str">
        <f t="shared" si="43"/>
        <v>Informes Operaciones Reciprocas</v>
      </c>
      <c r="V96" s="213">
        <f t="shared" si="43"/>
        <v>0</v>
      </c>
      <c r="W96" s="214" t="s">
        <v>117</v>
      </c>
      <c r="X96" s="215">
        <v>1</v>
      </c>
      <c r="Y96" s="214" t="s">
        <v>390</v>
      </c>
      <c r="Z96" s="210">
        <v>0</v>
      </c>
      <c r="AA96" s="196"/>
      <c r="AB96" s="196"/>
      <c r="AC96" s="204">
        <f t="shared" si="44"/>
        <v>0</v>
      </c>
      <c r="AD96" s="204" t="e">
        <f t="shared" si="45"/>
        <v>#DIV/0!</v>
      </c>
      <c r="AE96" s="204">
        <f t="shared" si="31"/>
        <v>0</v>
      </c>
      <c r="AF96" s="204" t="e">
        <f t="shared" si="32"/>
        <v>#DIV/0!</v>
      </c>
      <c r="AG96" s="215">
        <v>1</v>
      </c>
      <c r="AH96" s="214" t="s">
        <v>390</v>
      </c>
      <c r="AI96" s="210">
        <v>0</v>
      </c>
      <c r="AJ96" s="196"/>
      <c r="AK96" s="196"/>
      <c r="AL96" s="204">
        <f t="shared" si="46"/>
        <v>0</v>
      </c>
      <c r="AM96" s="204" t="e">
        <f t="shared" si="33"/>
        <v>#DIV/0!</v>
      </c>
      <c r="AN96" s="204">
        <f t="shared" si="34"/>
        <v>0</v>
      </c>
      <c r="AO96" s="204" t="e">
        <f t="shared" si="35"/>
        <v>#DIV/0!</v>
      </c>
      <c r="AP96" s="215">
        <v>1</v>
      </c>
      <c r="AQ96" s="214" t="s">
        <v>390</v>
      </c>
      <c r="AR96" s="210">
        <v>0</v>
      </c>
      <c r="AS96" s="196"/>
      <c r="AT96" s="196"/>
      <c r="AU96" s="204">
        <f t="shared" si="47"/>
        <v>0</v>
      </c>
      <c r="AV96" s="204" t="e">
        <f t="shared" si="48"/>
        <v>#DIV/0!</v>
      </c>
      <c r="AW96" s="204">
        <f t="shared" si="49"/>
        <v>0</v>
      </c>
      <c r="AX96" s="204" t="e">
        <f t="shared" si="50"/>
        <v>#DIV/0!</v>
      </c>
      <c r="AY96" s="215">
        <v>1</v>
      </c>
      <c r="AZ96" s="214" t="s">
        <v>390</v>
      </c>
      <c r="BA96" s="210">
        <v>0</v>
      </c>
      <c r="BB96" s="196"/>
      <c r="BC96" s="196"/>
      <c r="BD96" s="216">
        <f t="shared" si="51"/>
        <v>0</v>
      </c>
      <c r="BE96" s="216" t="e">
        <f t="shared" si="52"/>
        <v>#DIV/0!</v>
      </c>
      <c r="BF96" s="216">
        <f t="shared" si="53"/>
        <v>0</v>
      </c>
      <c r="BG96" s="216" t="e">
        <f t="shared" si="54"/>
        <v>#DIV/0!</v>
      </c>
      <c r="BH96" s="207">
        <f t="shared" si="36"/>
        <v>0</v>
      </c>
      <c r="BI96" s="207" t="str">
        <f t="shared" si="37"/>
        <v>No Prog ni Ejec</v>
      </c>
      <c r="BJ96" s="207">
        <f t="shared" si="38"/>
        <v>0</v>
      </c>
      <c r="BK96" s="207" t="str">
        <f t="shared" si="39"/>
        <v>No Prog ni Ejec</v>
      </c>
      <c r="BL96" s="207">
        <f t="shared" si="55"/>
        <v>0</v>
      </c>
      <c r="BM96" s="207" t="str">
        <f t="shared" si="56"/>
        <v>No Prog ni Ejec</v>
      </c>
      <c r="BN96" s="207">
        <f t="shared" si="40"/>
        <v>0</v>
      </c>
      <c r="BO96" s="207" t="str">
        <f t="shared" si="41"/>
        <v>No Prog ni Ejec</v>
      </c>
      <c r="BP96" s="206"/>
      <c r="BQ96" s="277">
        <v>7</v>
      </c>
      <c r="BR96" s="218">
        <f t="shared" si="42"/>
        <v>2.3333333333333335</v>
      </c>
      <c r="BS96" s="219" t="str">
        <f t="shared" si="57"/>
        <v>Informes Operaciones Reciprocas</v>
      </c>
      <c r="BT96" s="195">
        <f t="shared" si="30"/>
        <v>0</v>
      </c>
      <c r="BU96" s="196"/>
      <c r="BV96" s="196"/>
      <c r="BW96" s="196"/>
      <c r="BX96" s="196"/>
      <c r="BY96" s="196"/>
      <c r="BZ96" s="19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99.75" x14ac:dyDescent="0.25">
      <c r="A97" s="197">
        <v>11700</v>
      </c>
      <c r="B97" s="194" t="s">
        <v>29</v>
      </c>
      <c r="C97" s="198" t="s">
        <v>328</v>
      </c>
      <c r="D97" s="194" t="s">
        <v>256</v>
      </c>
      <c r="E97" s="198" t="s">
        <v>394</v>
      </c>
      <c r="F97" s="194" t="s">
        <v>395</v>
      </c>
      <c r="G97" s="209" t="s">
        <v>123</v>
      </c>
      <c r="H97" s="216">
        <v>1</v>
      </c>
      <c r="I97" s="198" t="s">
        <v>396</v>
      </c>
      <c r="J97" s="194" t="s">
        <v>397</v>
      </c>
      <c r="K97" s="210">
        <v>0</v>
      </c>
      <c r="L97" s="211">
        <v>1</v>
      </c>
      <c r="M97" s="194" t="s">
        <v>46</v>
      </c>
      <c r="N97" s="194" t="s">
        <v>68</v>
      </c>
      <c r="O97" s="194" t="s">
        <v>37</v>
      </c>
      <c r="P97" s="194" t="s">
        <v>38</v>
      </c>
      <c r="Q97" s="194" t="s">
        <v>219</v>
      </c>
      <c r="R97" s="194" t="s">
        <v>398</v>
      </c>
      <c r="S97" s="194" t="s">
        <v>99</v>
      </c>
      <c r="T97" s="211">
        <v>1</v>
      </c>
      <c r="U97" s="212" t="str">
        <f t="shared" si="43"/>
        <v xml:space="preserve">Tramite de pago de las Cuentas de Cobro con Soportes Documentales radicadas en el mes </v>
      </c>
      <c r="V97" s="213">
        <f t="shared" si="43"/>
        <v>0</v>
      </c>
      <c r="W97" s="214" t="s">
        <v>117</v>
      </c>
      <c r="X97" s="216">
        <v>0.25</v>
      </c>
      <c r="Y97" s="214" t="s">
        <v>397</v>
      </c>
      <c r="Z97" s="210">
        <v>0</v>
      </c>
      <c r="AA97" s="196"/>
      <c r="AB97" s="196"/>
      <c r="AC97" s="204">
        <f t="shared" si="44"/>
        <v>0</v>
      </c>
      <c r="AD97" s="204" t="e">
        <f t="shared" si="45"/>
        <v>#DIV/0!</v>
      </c>
      <c r="AE97" s="204">
        <f t="shared" si="31"/>
        <v>0</v>
      </c>
      <c r="AF97" s="204" t="e">
        <f t="shared" si="32"/>
        <v>#DIV/0!</v>
      </c>
      <c r="AG97" s="216">
        <v>0.25</v>
      </c>
      <c r="AH97" s="214" t="s">
        <v>397</v>
      </c>
      <c r="AI97" s="210">
        <v>0</v>
      </c>
      <c r="AJ97" s="196"/>
      <c r="AK97" s="196"/>
      <c r="AL97" s="204">
        <f t="shared" si="46"/>
        <v>0</v>
      </c>
      <c r="AM97" s="204" t="e">
        <f t="shared" si="33"/>
        <v>#DIV/0!</v>
      </c>
      <c r="AN97" s="204">
        <f t="shared" si="34"/>
        <v>0</v>
      </c>
      <c r="AO97" s="204" t="e">
        <f t="shared" si="35"/>
        <v>#DIV/0!</v>
      </c>
      <c r="AP97" s="216">
        <v>0.25</v>
      </c>
      <c r="AQ97" s="214" t="s">
        <v>397</v>
      </c>
      <c r="AR97" s="210">
        <v>0</v>
      </c>
      <c r="AS97" s="196"/>
      <c r="AT97" s="196"/>
      <c r="AU97" s="204">
        <f t="shared" si="47"/>
        <v>0</v>
      </c>
      <c r="AV97" s="204" t="e">
        <f t="shared" si="48"/>
        <v>#DIV/0!</v>
      </c>
      <c r="AW97" s="204">
        <f t="shared" si="49"/>
        <v>0</v>
      </c>
      <c r="AX97" s="204" t="e">
        <f t="shared" si="50"/>
        <v>#DIV/0!</v>
      </c>
      <c r="AY97" s="216">
        <v>0.25</v>
      </c>
      <c r="AZ97" s="214" t="s">
        <v>397</v>
      </c>
      <c r="BA97" s="210">
        <v>0</v>
      </c>
      <c r="BB97" s="196"/>
      <c r="BC97" s="196"/>
      <c r="BD97" s="216">
        <f t="shared" si="51"/>
        <v>0</v>
      </c>
      <c r="BE97" s="216" t="e">
        <f t="shared" si="52"/>
        <v>#DIV/0!</v>
      </c>
      <c r="BF97" s="216">
        <f t="shared" si="53"/>
        <v>0</v>
      </c>
      <c r="BG97" s="216" t="e">
        <f t="shared" si="54"/>
        <v>#DIV/0!</v>
      </c>
      <c r="BH97" s="207">
        <f t="shared" si="36"/>
        <v>0</v>
      </c>
      <c r="BI97" s="207" t="str">
        <f t="shared" si="37"/>
        <v>No Prog ni Ejec</v>
      </c>
      <c r="BJ97" s="207">
        <f t="shared" si="38"/>
        <v>0</v>
      </c>
      <c r="BK97" s="207" t="str">
        <f t="shared" si="39"/>
        <v>No Prog ni Ejec</v>
      </c>
      <c r="BL97" s="207">
        <f t="shared" si="55"/>
        <v>0</v>
      </c>
      <c r="BM97" s="207" t="str">
        <f t="shared" si="56"/>
        <v>No Prog ni Ejec</v>
      </c>
      <c r="BN97" s="207">
        <f t="shared" si="40"/>
        <v>0</v>
      </c>
      <c r="BO97" s="207" t="str">
        <f t="shared" si="41"/>
        <v>No Prog ni Ejec</v>
      </c>
      <c r="BP97" s="206"/>
      <c r="BQ97" s="277">
        <v>7</v>
      </c>
      <c r="BR97" s="208">
        <f t="shared" si="42"/>
        <v>0.58333333333333337</v>
      </c>
      <c r="BS97" s="219" t="str">
        <f t="shared" si="57"/>
        <v xml:space="preserve">Tramite de pago de las Cuentas de Cobro con Soportes Documentales radicadas en el mes </v>
      </c>
      <c r="BT97" s="195">
        <f t="shared" si="30"/>
        <v>0</v>
      </c>
      <c r="BU97" s="196"/>
      <c r="BV97" s="196"/>
      <c r="BW97" s="196"/>
      <c r="BX97" s="196"/>
      <c r="BY97" s="196"/>
      <c r="BZ97" s="19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99.75" x14ac:dyDescent="0.25">
      <c r="A98" s="197">
        <v>11700</v>
      </c>
      <c r="B98" s="194" t="s">
        <v>29</v>
      </c>
      <c r="C98" s="198" t="s">
        <v>328</v>
      </c>
      <c r="D98" s="194" t="s">
        <v>256</v>
      </c>
      <c r="E98" s="198" t="s">
        <v>399</v>
      </c>
      <c r="F98" s="194" t="s">
        <v>400</v>
      </c>
      <c r="G98" s="209" t="s">
        <v>123</v>
      </c>
      <c r="H98" s="216">
        <v>1</v>
      </c>
      <c r="I98" s="198" t="s">
        <v>403</v>
      </c>
      <c r="J98" s="194" t="s">
        <v>405</v>
      </c>
      <c r="K98" s="210">
        <v>319126980</v>
      </c>
      <c r="L98" s="211">
        <v>1</v>
      </c>
      <c r="M98" s="194" t="s">
        <v>51</v>
      </c>
      <c r="N98" s="194" t="s">
        <v>56</v>
      </c>
      <c r="O98" s="194" t="s">
        <v>37</v>
      </c>
      <c r="P98" s="194" t="s">
        <v>40</v>
      </c>
      <c r="Q98" s="194" t="s">
        <v>217</v>
      </c>
      <c r="R98" s="201" t="s">
        <v>402</v>
      </c>
      <c r="S98" s="194" t="s">
        <v>111</v>
      </c>
      <c r="T98" s="211">
        <v>1</v>
      </c>
      <c r="U98" s="212" t="str">
        <f t="shared" si="43"/>
        <v>Trámites  Precontractuales y Contractuales Adelantados de conformidad con Plan de Adquisiciones de la Dirección.</v>
      </c>
      <c r="V98" s="213">
        <f t="shared" si="43"/>
        <v>319126980</v>
      </c>
      <c r="W98" s="222" t="s">
        <v>114</v>
      </c>
      <c r="X98" s="216">
        <v>0.25</v>
      </c>
      <c r="Y98" s="214" t="s">
        <v>405</v>
      </c>
      <c r="Z98" s="210">
        <f>+V98*X98</f>
        <v>79781745</v>
      </c>
      <c r="AA98" s="196"/>
      <c r="AB98" s="196"/>
      <c r="AC98" s="204">
        <f t="shared" si="44"/>
        <v>0</v>
      </c>
      <c r="AD98" s="204">
        <f>+(AB98/Z98)</f>
        <v>0</v>
      </c>
      <c r="AE98" s="204">
        <f t="shared" si="31"/>
        <v>0</v>
      </c>
      <c r="AF98" s="204">
        <f t="shared" si="32"/>
        <v>0</v>
      </c>
      <c r="AG98" s="216">
        <v>0.25</v>
      </c>
      <c r="AH98" s="214" t="s">
        <v>405</v>
      </c>
      <c r="AI98" s="210">
        <v>79781745</v>
      </c>
      <c r="AJ98" s="196"/>
      <c r="AK98" s="196"/>
      <c r="AL98" s="204">
        <f t="shared" si="46"/>
        <v>0</v>
      </c>
      <c r="AM98" s="204">
        <f t="shared" si="33"/>
        <v>0</v>
      </c>
      <c r="AN98" s="204">
        <f t="shared" si="34"/>
        <v>0</v>
      </c>
      <c r="AO98" s="204">
        <f t="shared" si="35"/>
        <v>0</v>
      </c>
      <c r="AP98" s="216">
        <v>0.25</v>
      </c>
      <c r="AQ98" s="214" t="s">
        <v>405</v>
      </c>
      <c r="AR98" s="210">
        <v>79781745</v>
      </c>
      <c r="AS98" s="196"/>
      <c r="AT98" s="196"/>
      <c r="AU98" s="204">
        <f t="shared" si="47"/>
        <v>0</v>
      </c>
      <c r="AV98" s="204">
        <f t="shared" si="48"/>
        <v>0</v>
      </c>
      <c r="AW98" s="204">
        <f t="shared" si="49"/>
        <v>0</v>
      </c>
      <c r="AX98" s="204">
        <f t="shared" si="50"/>
        <v>0</v>
      </c>
      <c r="AY98" s="216">
        <v>0.25</v>
      </c>
      <c r="AZ98" s="214" t="s">
        <v>405</v>
      </c>
      <c r="BA98" s="210">
        <v>79781745</v>
      </c>
      <c r="BB98" s="196"/>
      <c r="BC98" s="196"/>
      <c r="BD98" s="216">
        <f t="shared" si="51"/>
        <v>0</v>
      </c>
      <c r="BE98" s="216">
        <f t="shared" si="52"/>
        <v>0</v>
      </c>
      <c r="BF98" s="216">
        <f t="shared" si="53"/>
        <v>0</v>
      </c>
      <c r="BG98" s="216">
        <f t="shared" si="54"/>
        <v>0</v>
      </c>
      <c r="BH98" s="223">
        <f t="shared" si="36"/>
        <v>0</v>
      </c>
      <c r="BI98" s="223">
        <f t="shared" si="37"/>
        <v>0</v>
      </c>
      <c r="BJ98" s="223">
        <f t="shared" si="38"/>
        <v>0</v>
      </c>
      <c r="BK98" s="223">
        <f t="shared" si="39"/>
        <v>0</v>
      </c>
      <c r="BL98" s="223">
        <f t="shared" si="55"/>
        <v>0</v>
      </c>
      <c r="BM98" s="223">
        <f t="shared" si="56"/>
        <v>0</v>
      </c>
      <c r="BN98" s="223">
        <f t="shared" si="40"/>
        <v>0</v>
      </c>
      <c r="BO98" s="223">
        <f t="shared" si="41"/>
        <v>0</v>
      </c>
      <c r="BP98" s="206"/>
      <c r="BQ98" s="277">
        <v>7</v>
      </c>
      <c r="BR98" s="208">
        <f t="shared" si="42"/>
        <v>0.58333333333333337</v>
      </c>
      <c r="BS98" s="219" t="str">
        <f t="shared" si="57"/>
        <v>Trámites  Precontractuales y Contractuales Adelantados de conformidad con Plan de Adquisiciones de la Dirección.</v>
      </c>
      <c r="BT98" s="195">
        <f t="shared" si="30"/>
        <v>186157405</v>
      </c>
      <c r="BU98" s="196"/>
      <c r="BV98" s="196"/>
      <c r="BW98" s="196"/>
      <c r="BX98" s="196"/>
      <c r="BY98" s="196"/>
      <c r="BZ98" s="19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99.75" x14ac:dyDescent="0.25">
      <c r="A99" s="197">
        <v>11700</v>
      </c>
      <c r="B99" s="194" t="s">
        <v>29</v>
      </c>
      <c r="C99" s="198" t="s">
        <v>328</v>
      </c>
      <c r="D99" s="194" t="s">
        <v>256</v>
      </c>
      <c r="E99" s="198" t="s">
        <v>401</v>
      </c>
      <c r="F99" s="194" t="s">
        <v>563</v>
      </c>
      <c r="G99" s="209" t="s">
        <v>123</v>
      </c>
      <c r="H99" s="216">
        <v>1</v>
      </c>
      <c r="I99" s="198" t="s">
        <v>404</v>
      </c>
      <c r="J99" s="194" t="s">
        <v>564</v>
      </c>
      <c r="K99" s="210">
        <v>0</v>
      </c>
      <c r="L99" s="211">
        <v>1</v>
      </c>
      <c r="M99" s="194" t="s">
        <v>51</v>
      </c>
      <c r="N99" s="194" t="s">
        <v>56</v>
      </c>
      <c r="O99" s="194" t="s">
        <v>37</v>
      </c>
      <c r="P99" s="194" t="s">
        <v>40</v>
      </c>
      <c r="Q99" s="194" t="s">
        <v>217</v>
      </c>
      <c r="R99" s="194" t="s">
        <v>808</v>
      </c>
      <c r="S99" s="194" t="s">
        <v>111</v>
      </c>
      <c r="T99" s="211">
        <v>1</v>
      </c>
      <c r="U99" s="212" t="str">
        <f t="shared" si="43"/>
        <v xml:space="preserve">No de Actos de cierre y/ o liquidaciones elaboradas / No. De Contratos terminados. </v>
      </c>
      <c r="V99" s="213">
        <f t="shared" si="43"/>
        <v>0</v>
      </c>
      <c r="W99" s="214" t="s">
        <v>117</v>
      </c>
      <c r="X99" s="216">
        <v>0.25</v>
      </c>
      <c r="Y99" s="214" t="s">
        <v>564</v>
      </c>
      <c r="Z99" s="210">
        <v>0</v>
      </c>
      <c r="AA99" s="196"/>
      <c r="AB99" s="196"/>
      <c r="AC99" s="204">
        <f t="shared" si="44"/>
        <v>0</v>
      </c>
      <c r="AD99" s="204" t="e">
        <f t="shared" si="45"/>
        <v>#DIV/0!</v>
      </c>
      <c r="AE99" s="204">
        <f t="shared" si="31"/>
        <v>0</v>
      </c>
      <c r="AF99" s="204" t="e">
        <f t="shared" si="32"/>
        <v>#DIV/0!</v>
      </c>
      <c r="AG99" s="216">
        <v>0.25</v>
      </c>
      <c r="AH99" s="214" t="s">
        <v>564</v>
      </c>
      <c r="AI99" s="210">
        <v>0</v>
      </c>
      <c r="AJ99" s="196"/>
      <c r="AK99" s="196"/>
      <c r="AL99" s="204">
        <f t="shared" si="46"/>
        <v>0</v>
      </c>
      <c r="AM99" s="204" t="e">
        <f t="shared" si="33"/>
        <v>#DIV/0!</v>
      </c>
      <c r="AN99" s="204">
        <f t="shared" si="34"/>
        <v>0</v>
      </c>
      <c r="AO99" s="204" t="e">
        <f t="shared" si="35"/>
        <v>#DIV/0!</v>
      </c>
      <c r="AP99" s="216">
        <v>0.25</v>
      </c>
      <c r="AQ99" s="214" t="s">
        <v>564</v>
      </c>
      <c r="AR99" s="210">
        <v>0</v>
      </c>
      <c r="AS99" s="196"/>
      <c r="AT99" s="196"/>
      <c r="AU99" s="204">
        <f t="shared" si="47"/>
        <v>0</v>
      </c>
      <c r="AV99" s="204" t="e">
        <f t="shared" si="48"/>
        <v>#DIV/0!</v>
      </c>
      <c r="AW99" s="204">
        <f t="shared" si="49"/>
        <v>0</v>
      </c>
      <c r="AX99" s="204" t="e">
        <f t="shared" si="50"/>
        <v>#DIV/0!</v>
      </c>
      <c r="AY99" s="216">
        <v>0.25</v>
      </c>
      <c r="AZ99" s="214" t="s">
        <v>564</v>
      </c>
      <c r="BA99" s="210">
        <v>0</v>
      </c>
      <c r="BB99" s="196"/>
      <c r="BC99" s="196"/>
      <c r="BD99" s="216">
        <f t="shared" si="51"/>
        <v>0</v>
      </c>
      <c r="BE99" s="216" t="e">
        <f t="shared" si="52"/>
        <v>#DIV/0!</v>
      </c>
      <c r="BF99" s="216">
        <f t="shared" si="53"/>
        <v>0</v>
      </c>
      <c r="BG99" s="216" t="e">
        <f t="shared" si="54"/>
        <v>#DIV/0!</v>
      </c>
      <c r="BH99" s="217">
        <f t="shared" si="36"/>
        <v>0</v>
      </c>
      <c r="BI99" s="217" t="str">
        <f t="shared" si="37"/>
        <v>No Prog ni Ejec</v>
      </c>
      <c r="BJ99" s="217">
        <f t="shared" si="38"/>
        <v>0</v>
      </c>
      <c r="BK99" s="217" t="str">
        <f t="shared" si="39"/>
        <v>No Prog ni Ejec</v>
      </c>
      <c r="BL99" s="217">
        <f t="shared" si="55"/>
        <v>0</v>
      </c>
      <c r="BM99" s="217" t="str">
        <f t="shared" si="56"/>
        <v>No Prog ni Ejec</v>
      </c>
      <c r="BN99" s="217">
        <f t="shared" si="40"/>
        <v>0</v>
      </c>
      <c r="BO99" s="217" t="str">
        <f t="shared" si="41"/>
        <v>No Prog ni Ejec</v>
      </c>
      <c r="BP99" s="206"/>
      <c r="BQ99" s="277">
        <v>7</v>
      </c>
      <c r="BR99" s="208">
        <f t="shared" si="42"/>
        <v>0.58333333333333337</v>
      </c>
      <c r="BS99" s="219" t="str">
        <f t="shared" si="57"/>
        <v xml:space="preserve">No de Actos de cierre y/ o liquidaciones elaboradas / No. De Contratos terminados. </v>
      </c>
      <c r="BT99" s="195">
        <f t="shared" si="30"/>
        <v>0</v>
      </c>
      <c r="BU99" s="196"/>
      <c r="BV99" s="196"/>
      <c r="BW99" s="196"/>
      <c r="BX99" s="196"/>
      <c r="BY99" s="196"/>
      <c r="BZ99" s="19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99.75" x14ac:dyDescent="0.25">
      <c r="A100" s="197">
        <v>11700</v>
      </c>
      <c r="B100" s="194" t="s">
        <v>29</v>
      </c>
      <c r="C100" s="198" t="s">
        <v>328</v>
      </c>
      <c r="D100" s="194" t="s">
        <v>256</v>
      </c>
      <c r="E100" s="198" t="s">
        <v>407</v>
      </c>
      <c r="F100" s="194" t="s">
        <v>661</v>
      </c>
      <c r="G100" s="209" t="s">
        <v>123</v>
      </c>
      <c r="H100" s="216">
        <v>1</v>
      </c>
      <c r="I100" s="198" t="s">
        <v>409</v>
      </c>
      <c r="J100" s="194" t="s">
        <v>660</v>
      </c>
      <c r="K100" s="210">
        <v>400000000</v>
      </c>
      <c r="L100" s="211">
        <v>1</v>
      </c>
      <c r="M100" s="194" t="s">
        <v>45</v>
      </c>
      <c r="N100" s="194" t="s">
        <v>54</v>
      </c>
      <c r="O100" s="194" t="s">
        <v>37</v>
      </c>
      <c r="P100" s="194" t="s">
        <v>38</v>
      </c>
      <c r="Q100" s="194" t="s">
        <v>218</v>
      </c>
      <c r="R100" s="194" t="s">
        <v>664</v>
      </c>
      <c r="S100" s="194" t="s">
        <v>104</v>
      </c>
      <c r="T100" s="227">
        <v>9</v>
      </c>
      <c r="U100" s="212" t="str">
        <f t="shared" si="43"/>
        <v>Realizar capacitación y fortalecimiento de las competencias laborales de los funcionarios</v>
      </c>
      <c r="V100" s="213">
        <f t="shared" si="43"/>
        <v>400000000</v>
      </c>
      <c r="W100" s="222" t="s">
        <v>114</v>
      </c>
      <c r="X100" s="284">
        <v>3</v>
      </c>
      <c r="Y100" s="282" t="s">
        <v>660</v>
      </c>
      <c r="Z100" s="283">
        <v>100000000</v>
      </c>
      <c r="AA100" s="279"/>
      <c r="AB100" s="279"/>
      <c r="AC100" s="280">
        <f t="shared" si="44"/>
        <v>0</v>
      </c>
      <c r="AD100" s="280">
        <f t="shared" si="45"/>
        <v>0</v>
      </c>
      <c r="AE100" s="280">
        <f t="shared" si="31"/>
        <v>0</v>
      </c>
      <c r="AF100" s="280">
        <f t="shared" si="32"/>
        <v>0</v>
      </c>
      <c r="AG100" s="284">
        <v>2</v>
      </c>
      <c r="AH100" s="282" t="s">
        <v>660</v>
      </c>
      <c r="AI100" s="283">
        <v>100000000</v>
      </c>
      <c r="AJ100" s="279"/>
      <c r="AK100" s="279"/>
      <c r="AL100" s="280">
        <f t="shared" si="46"/>
        <v>0</v>
      </c>
      <c r="AM100" s="280">
        <f t="shared" si="33"/>
        <v>0</v>
      </c>
      <c r="AN100" s="280">
        <f t="shared" si="34"/>
        <v>0</v>
      </c>
      <c r="AO100" s="280">
        <f t="shared" si="35"/>
        <v>0</v>
      </c>
      <c r="AP100" s="284">
        <v>2</v>
      </c>
      <c r="AQ100" s="282" t="s">
        <v>660</v>
      </c>
      <c r="AR100" s="283">
        <v>100000000</v>
      </c>
      <c r="AS100" s="279"/>
      <c r="AT100" s="279"/>
      <c r="AU100" s="280">
        <f t="shared" si="47"/>
        <v>0</v>
      </c>
      <c r="AV100" s="280">
        <f t="shared" si="48"/>
        <v>0</v>
      </c>
      <c r="AW100" s="280">
        <f t="shared" si="49"/>
        <v>0</v>
      </c>
      <c r="AX100" s="280">
        <f t="shared" si="50"/>
        <v>0</v>
      </c>
      <c r="AY100" s="284">
        <v>2</v>
      </c>
      <c r="AZ100" s="282" t="s">
        <v>660</v>
      </c>
      <c r="BA100" s="283">
        <v>100000000</v>
      </c>
      <c r="BB100" s="279"/>
      <c r="BC100" s="279"/>
      <c r="BD100" s="281">
        <f t="shared" si="51"/>
        <v>0</v>
      </c>
      <c r="BE100" s="281">
        <f t="shared" si="52"/>
        <v>0</v>
      </c>
      <c r="BF100" s="281">
        <f t="shared" si="53"/>
        <v>0</v>
      </c>
      <c r="BG100" s="281">
        <f t="shared" si="54"/>
        <v>0</v>
      </c>
      <c r="BH100" s="205">
        <f t="shared" si="36"/>
        <v>0</v>
      </c>
      <c r="BI100" s="205">
        <f t="shared" si="37"/>
        <v>0</v>
      </c>
      <c r="BJ100" s="205">
        <f t="shared" si="38"/>
        <v>0</v>
      </c>
      <c r="BK100" s="205">
        <f t="shared" si="39"/>
        <v>0</v>
      </c>
      <c r="BL100" s="205">
        <f t="shared" si="55"/>
        <v>0</v>
      </c>
      <c r="BM100" s="205">
        <f t="shared" si="56"/>
        <v>0</v>
      </c>
      <c r="BN100" s="205">
        <f t="shared" si="40"/>
        <v>0</v>
      </c>
      <c r="BO100" s="205">
        <f t="shared" si="41"/>
        <v>0</v>
      </c>
      <c r="BP100" s="206"/>
      <c r="BQ100" s="277">
        <v>7</v>
      </c>
      <c r="BR100" s="208">
        <f t="shared" si="42"/>
        <v>5.666666666666667</v>
      </c>
      <c r="BS100" s="219" t="str">
        <f t="shared" si="57"/>
        <v>Realizar capacitación y fortalecimiento de las competencias laborales de los funcionarios</v>
      </c>
      <c r="BT100" s="195">
        <f t="shared" si="30"/>
        <v>233333333.33333334</v>
      </c>
      <c r="BU100" s="196"/>
      <c r="BV100" s="196"/>
      <c r="BW100" s="196"/>
      <c r="BX100" s="196"/>
      <c r="BY100" s="196"/>
      <c r="BZ100" s="19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99.75" x14ac:dyDescent="0.25">
      <c r="A101" s="197">
        <v>11700</v>
      </c>
      <c r="B101" s="194" t="s">
        <v>29</v>
      </c>
      <c r="C101" s="198" t="s">
        <v>328</v>
      </c>
      <c r="D101" s="194" t="s">
        <v>256</v>
      </c>
      <c r="E101" s="198" t="s">
        <v>407</v>
      </c>
      <c r="F101" s="194" t="s">
        <v>662</v>
      </c>
      <c r="G101" s="209" t="s">
        <v>123</v>
      </c>
      <c r="H101" s="216">
        <v>1</v>
      </c>
      <c r="I101" s="198" t="s">
        <v>629</v>
      </c>
      <c r="J101" s="194" t="s">
        <v>663</v>
      </c>
      <c r="K101" s="210">
        <v>400000000</v>
      </c>
      <c r="L101" s="211">
        <v>1</v>
      </c>
      <c r="M101" s="194" t="s">
        <v>45</v>
      </c>
      <c r="N101" s="194" t="s">
        <v>54</v>
      </c>
      <c r="O101" s="194" t="s">
        <v>37</v>
      </c>
      <c r="P101" s="194" t="s">
        <v>38</v>
      </c>
      <c r="Q101" s="194" t="s">
        <v>218</v>
      </c>
      <c r="R101" s="194" t="s">
        <v>411</v>
      </c>
      <c r="S101" s="194" t="s">
        <v>104</v>
      </c>
      <c r="T101" s="211">
        <v>1</v>
      </c>
      <c r="U101" s="212" t="str">
        <f t="shared" si="43"/>
        <v>Realizar actividades para fortalecer la calidad de vida de los servidores públicos de la entidad, así como el clima organizacional</v>
      </c>
      <c r="V101" s="213">
        <f t="shared" si="43"/>
        <v>400000000</v>
      </c>
      <c r="W101" s="222" t="s">
        <v>114</v>
      </c>
      <c r="X101" s="216">
        <v>0.25</v>
      </c>
      <c r="Y101" s="214" t="s">
        <v>663</v>
      </c>
      <c r="Z101" s="210">
        <v>80000000</v>
      </c>
      <c r="AA101" s="196"/>
      <c r="AB101" s="196"/>
      <c r="AC101" s="204">
        <f t="shared" si="44"/>
        <v>0</v>
      </c>
      <c r="AD101" s="204">
        <f t="shared" si="45"/>
        <v>0</v>
      </c>
      <c r="AE101" s="204">
        <f t="shared" si="31"/>
        <v>0</v>
      </c>
      <c r="AF101" s="204">
        <f t="shared" si="32"/>
        <v>0</v>
      </c>
      <c r="AG101" s="216">
        <v>0.25</v>
      </c>
      <c r="AH101" s="214" t="s">
        <v>663</v>
      </c>
      <c r="AI101" s="210">
        <v>120000000</v>
      </c>
      <c r="AJ101" s="196"/>
      <c r="AK101" s="196"/>
      <c r="AL101" s="204">
        <f t="shared" si="46"/>
        <v>0</v>
      </c>
      <c r="AM101" s="204">
        <f t="shared" si="33"/>
        <v>0</v>
      </c>
      <c r="AN101" s="204">
        <f t="shared" si="34"/>
        <v>0</v>
      </c>
      <c r="AO101" s="204">
        <f t="shared" si="35"/>
        <v>0</v>
      </c>
      <c r="AP101" s="216">
        <v>0.25</v>
      </c>
      <c r="AQ101" s="214" t="s">
        <v>663</v>
      </c>
      <c r="AR101" s="210">
        <v>80000000</v>
      </c>
      <c r="AS101" s="196"/>
      <c r="AT101" s="196"/>
      <c r="AU101" s="204">
        <f t="shared" si="47"/>
        <v>0</v>
      </c>
      <c r="AV101" s="204">
        <f t="shared" si="48"/>
        <v>0</v>
      </c>
      <c r="AW101" s="204">
        <f t="shared" si="49"/>
        <v>0</v>
      </c>
      <c r="AX101" s="204">
        <f t="shared" si="50"/>
        <v>0</v>
      </c>
      <c r="AY101" s="216">
        <v>0.25</v>
      </c>
      <c r="AZ101" s="214" t="s">
        <v>663</v>
      </c>
      <c r="BA101" s="210">
        <v>120000000</v>
      </c>
      <c r="BB101" s="196"/>
      <c r="BC101" s="196"/>
      <c r="BD101" s="216">
        <f t="shared" si="51"/>
        <v>0</v>
      </c>
      <c r="BE101" s="216">
        <f t="shared" si="52"/>
        <v>0</v>
      </c>
      <c r="BF101" s="216">
        <f t="shared" si="53"/>
        <v>0</v>
      </c>
      <c r="BG101" s="216">
        <f t="shared" si="54"/>
        <v>0</v>
      </c>
      <c r="BH101" s="223">
        <f t="shared" si="36"/>
        <v>0</v>
      </c>
      <c r="BI101" s="223">
        <f t="shared" si="37"/>
        <v>0</v>
      </c>
      <c r="BJ101" s="223">
        <f t="shared" si="38"/>
        <v>0</v>
      </c>
      <c r="BK101" s="223">
        <f t="shared" si="39"/>
        <v>0</v>
      </c>
      <c r="BL101" s="223">
        <f t="shared" si="55"/>
        <v>0</v>
      </c>
      <c r="BM101" s="223">
        <f t="shared" si="56"/>
        <v>0</v>
      </c>
      <c r="BN101" s="223">
        <f t="shared" si="40"/>
        <v>0</v>
      </c>
      <c r="BO101" s="223">
        <f t="shared" si="41"/>
        <v>0</v>
      </c>
      <c r="BP101" s="206"/>
      <c r="BQ101" s="277">
        <v>7</v>
      </c>
      <c r="BR101" s="208">
        <f t="shared" si="42"/>
        <v>0.58333333333333337</v>
      </c>
      <c r="BS101" s="219" t="str">
        <f t="shared" si="57"/>
        <v>Realizar actividades para fortalecer la calidad de vida de los servidores públicos de la entidad, así como el clima organizacional</v>
      </c>
      <c r="BT101" s="195">
        <f t="shared" si="30"/>
        <v>226666666.66666666</v>
      </c>
      <c r="BU101" s="196"/>
      <c r="BV101" s="196"/>
      <c r="BW101" s="196"/>
      <c r="BX101" s="196"/>
      <c r="BY101" s="196"/>
      <c r="BZ101" s="19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99.75" x14ac:dyDescent="0.25">
      <c r="A102" s="197">
        <v>11700</v>
      </c>
      <c r="B102" s="194" t="s">
        <v>29</v>
      </c>
      <c r="C102" s="198" t="s">
        <v>328</v>
      </c>
      <c r="D102" s="194" t="s">
        <v>256</v>
      </c>
      <c r="E102" s="198" t="s">
        <v>412</v>
      </c>
      <c r="F102" s="194" t="s">
        <v>413</v>
      </c>
      <c r="G102" s="209" t="s">
        <v>123</v>
      </c>
      <c r="H102" s="216">
        <v>1</v>
      </c>
      <c r="I102" s="198" t="s">
        <v>416</v>
      </c>
      <c r="J102" s="194" t="s">
        <v>565</v>
      </c>
      <c r="K102" s="210">
        <v>6000000</v>
      </c>
      <c r="L102" s="211">
        <v>1</v>
      </c>
      <c r="M102" s="194" t="s">
        <v>45</v>
      </c>
      <c r="N102" s="194" t="s">
        <v>54</v>
      </c>
      <c r="O102" s="194" t="s">
        <v>37</v>
      </c>
      <c r="P102" s="194" t="s">
        <v>38</v>
      </c>
      <c r="Q102" s="194" t="s">
        <v>218</v>
      </c>
      <c r="R102" s="194" t="s">
        <v>182</v>
      </c>
      <c r="S102" s="194" t="s">
        <v>104</v>
      </c>
      <c r="T102" s="211">
        <v>1</v>
      </c>
      <c r="U102" s="212" t="str">
        <f t="shared" si="43"/>
        <v>Realización de Exámenes de Salud Ocupacional (pre-ocupacionales, exámenes médicos post-ocupacionales y exámenes médicos post-incapacidad)</v>
      </c>
      <c r="V102" s="213">
        <f t="shared" si="43"/>
        <v>6000000</v>
      </c>
      <c r="W102" s="222" t="s">
        <v>114</v>
      </c>
      <c r="X102" s="216">
        <v>0.25</v>
      </c>
      <c r="Y102" s="214" t="s">
        <v>565</v>
      </c>
      <c r="Z102" s="210">
        <v>1500000</v>
      </c>
      <c r="AA102" s="196"/>
      <c r="AB102" s="196"/>
      <c r="AC102" s="204">
        <f t="shared" si="44"/>
        <v>0</v>
      </c>
      <c r="AD102" s="204">
        <f t="shared" si="45"/>
        <v>0</v>
      </c>
      <c r="AE102" s="204">
        <f t="shared" si="31"/>
        <v>0</v>
      </c>
      <c r="AF102" s="204">
        <f t="shared" si="32"/>
        <v>0</v>
      </c>
      <c r="AG102" s="216">
        <v>0.25</v>
      </c>
      <c r="AH102" s="214" t="s">
        <v>565</v>
      </c>
      <c r="AI102" s="210">
        <v>1500000</v>
      </c>
      <c r="AJ102" s="196"/>
      <c r="AK102" s="196"/>
      <c r="AL102" s="204">
        <f t="shared" si="46"/>
        <v>0</v>
      </c>
      <c r="AM102" s="204">
        <f t="shared" si="33"/>
        <v>0</v>
      </c>
      <c r="AN102" s="204">
        <f t="shared" si="34"/>
        <v>0</v>
      </c>
      <c r="AO102" s="204">
        <f t="shared" si="35"/>
        <v>0</v>
      </c>
      <c r="AP102" s="216">
        <v>0.25</v>
      </c>
      <c r="AQ102" s="214" t="s">
        <v>565</v>
      </c>
      <c r="AR102" s="210">
        <v>1500000</v>
      </c>
      <c r="AS102" s="196"/>
      <c r="AT102" s="196"/>
      <c r="AU102" s="204">
        <f t="shared" si="47"/>
        <v>0</v>
      </c>
      <c r="AV102" s="204">
        <f t="shared" si="48"/>
        <v>0</v>
      </c>
      <c r="AW102" s="204">
        <f t="shared" si="49"/>
        <v>0</v>
      </c>
      <c r="AX102" s="204">
        <f t="shared" si="50"/>
        <v>0</v>
      </c>
      <c r="AY102" s="216">
        <v>0.25</v>
      </c>
      <c r="AZ102" s="214" t="s">
        <v>565</v>
      </c>
      <c r="BA102" s="210">
        <v>1500000</v>
      </c>
      <c r="BB102" s="196"/>
      <c r="BC102" s="196"/>
      <c r="BD102" s="216">
        <f t="shared" si="51"/>
        <v>0</v>
      </c>
      <c r="BE102" s="216">
        <f t="shared" si="52"/>
        <v>0</v>
      </c>
      <c r="BF102" s="216">
        <f t="shared" si="53"/>
        <v>0</v>
      </c>
      <c r="BG102" s="216">
        <f t="shared" si="54"/>
        <v>0</v>
      </c>
      <c r="BH102" s="217">
        <f t="shared" si="36"/>
        <v>0</v>
      </c>
      <c r="BI102" s="217">
        <f t="shared" si="37"/>
        <v>0</v>
      </c>
      <c r="BJ102" s="217">
        <f t="shared" si="38"/>
        <v>0</v>
      </c>
      <c r="BK102" s="217">
        <f t="shared" si="39"/>
        <v>0</v>
      </c>
      <c r="BL102" s="217">
        <f t="shared" si="55"/>
        <v>0</v>
      </c>
      <c r="BM102" s="217">
        <f t="shared" si="56"/>
        <v>0</v>
      </c>
      <c r="BN102" s="217">
        <f t="shared" si="40"/>
        <v>0</v>
      </c>
      <c r="BO102" s="217">
        <f t="shared" si="41"/>
        <v>0</v>
      </c>
      <c r="BP102" s="206"/>
      <c r="BQ102" s="277">
        <v>7</v>
      </c>
      <c r="BR102" s="208">
        <f t="shared" si="42"/>
        <v>0.58333333333333337</v>
      </c>
      <c r="BS102" s="219" t="str">
        <f t="shared" si="57"/>
        <v>Realización de Exámenes de Salud Ocupacional (pre-ocupacionales, exámenes médicos post-ocupacionales y exámenes médicos post-incapacidad)</v>
      </c>
      <c r="BT102" s="195">
        <f t="shared" si="30"/>
        <v>3500000</v>
      </c>
      <c r="BU102" s="196"/>
      <c r="BV102" s="196"/>
      <c r="BW102" s="196"/>
      <c r="BX102" s="196"/>
      <c r="BY102" s="196"/>
      <c r="BZ102" s="19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99.75" x14ac:dyDescent="0.25">
      <c r="A103" s="197">
        <v>11700</v>
      </c>
      <c r="B103" s="194" t="s">
        <v>29</v>
      </c>
      <c r="C103" s="198" t="s">
        <v>328</v>
      </c>
      <c r="D103" s="194" t="s">
        <v>256</v>
      </c>
      <c r="E103" s="198" t="s">
        <v>414</v>
      </c>
      <c r="F103" s="194" t="s">
        <v>408</v>
      </c>
      <c r="G103" s="209" t="s">
        <v>124</v>
      </c>
      <c r="H103" s="198">
        <v>12</v>
      </c>
      <c r="I103" s="198" t="s">
        <v>415</v>
      </c>
      <c r="J103" s="194" t="s">
        <v>417</v>
      </c>
      <c r="K103" s="210">
        <v>62099999.999999993</v>
      </c>
      <c r="L103" s="211">
        <v>1</v>
      </c>
      <c r="M103" s="194" t="s">
        <v>45</v>
      </c>
      <c r="N103" s="194" t="s">
        <v>54</v>
      </c>
      <c r="O103" s="194" t="s">
        <v>37</v>
      </c>
      <c r="P103" s="194" t="s">
        <v>38</v>
      </c>
      <c r="Q103" s="194" t="s">
        <v>218</v>
      </c>
      <c r="R103" s="194" t="s">
        <v>658</v>
      </c>
      <c r="S103" s="194" t="s">
        <v>104</v>
      </c>
      <c r="T103" s="198">
        <v>12</v>
      </c>
      <c r="U103" s="212" t="str">
        <f t="shared" si="43"/>
        <v>Generar y Liquidar Nomina ADRES</v>
      </c>
      <c r="V103" s="213">
        <f t="shared" si="43"/>
        <v>62099999.999999993</v>
      </c>
      <c r="W103" s="222" t="s">
        <v>114</v>
      </c>
      <c r="X103" s="215">
        <v>3</v>
      </c>
      <c r="Y103" s="214" t="s">
        <v>417</v>
      </c>
      <c r="Z103" s="210">
        <v>15524999.999999998</v>
      </c>
      <c r="AA103" s="196"/>
      <c r="AB103" s="196"/>
      <c r="AC103" s="204">
        <f t="shared" si="44"/>
        <v>0</v>
      </c>
      <c r="AD103" s="204">
        <f t="shared" si="45"/>
        <v>0</v>
      </c>
      <c r="AE103" s="204">
        <f t="shared" si="31"/>
        <v>0</v>
      </c>
      <c r="AF103" s="204">
        <f t="shared" si="32"/>
        <v>0</v>
      </c>
      <c r="AG103" s="215">
        <v>3</v>
      </c>
      <c r="AH103" s="214" t="s">
        <v>417</v>
      </c>
      <c r="AI103" s="210">
        <v>15524999.999999998</v>
      </c>
      <c r="AJ103" s="196"/>
      <c r="AK103" s="196"/>
      <c r="AL103" s="204">
        <f t="shared" si="46"/>
        <v>0</v>
      </c>
      <c r="AM103" s="204">
        <f t="shared" si="33"/>
        <v>0</v>
      </c>
      <c r="AN103" s="204">
        <f t="shared" si="34"/>
        <v>0</v>
      </c>
      <c r="AO103" s="204">
        <f t="shared" si="35"/>
        <v>0</v>
      </c>
      <c r="AP103" s="215">
        <v>3</v>
      </c>
      <c r="AQ103" s="214" t="s">
        <v>417</v>
      </c>
      <c r="AR103" s="210">
        <v>15524999.999999998</v>
      </c>
      <c r="AS103" s="196"/>
      <c r="AT103" s="196"/>
      <c r="AU103" s="204">
        <f t="shared" si="47"/>
        <v>0</v>
      </c>
      <c r="AV103" s="204">
        <f t="shared" si="48"/>
        <v>0</v>
      </c>
      <c r="AW103" s="204">
        <f t="shared" si="49"/>
        <v>0</v>
      </c>
      <c r="AX103" s="204">
        <f t="shared" si="50"/>
        <v>0</v>
      </c>
      <c r="AY103" s="215">
        <v>3</v>
      </c>
      <c r="AZ103" s="214" t="s">
        <v>417</v>
      </c>
      <c r="BA103" s="210">
        <v>15524999.999999998</v>
      </c>
      <c r="BB103" s="196"/>
      <c r="BC103" s="196"/>
      <c r="BD103" s="216">
        <f t="shared" si="51"/>
        <v>0</v>
      </c>
      <c r="BE103" s="216">
        <f t="shared" si="52"/>
        <v>0</v>
      </c>
      <c r="BF103" s="216">
        <f t="shared" si="53"/>
        <v>0</v>
      </c>
      <c r="BG103" s="216">
        <f t="shared" si="54"/>
        <v>0</v>
      </c>
      <c r="BH103" s="223">
        <f t="shared" si="36"/>
        <v>0</v>
      </c>
      <c r="BI103" s="223">
        <f t="shared" si="37"/>
        <v>0</v>
      </c>
      <c r="BJ103" s="223">
        <f t="shared" si="38"/>
        <v>0</v>
      </c>
      <c r="BK103" s="223">
        <f t="shared" si="39"/>
        <v>0</v>
      </c>
      <c r="BL103" s="223">
        <f t="shared" si="55"/>
        <v>0</v>
      </c>
      <c r="BM103" s="223">
        <f t="shared" si="56"/>
        <v>0</v>
      </c>
      <c r="BN103" s="223">
        <f t="shared" si="40"/>
        <v>0</v>
      </c>
      <c r="BO103" s="223">
        <f t="shared" si="41"/>
        <v>0</v>
      </c>
      <c r="BP103" s="206"/>
      <c r="BQ103" s="277">
        <v>7</v>
      </c>
      <c r="BR103" s="218">
        <f t="shared" si="42"/>
        <v>7</v>
      </c>
      <c r="BS103" s="219" t="str">
        <f t="shared" si="57"/>
        <v>Generar y Liquidar Nomina ADRES</v>
      </c>
      <c r="BT103" s="195">
        <f t="shared" si="30"/>
        <v>36224999.999999993</v>
      </c>
      <c r="BU103" s="196"/>
      <c r="BV103" s="196"/>
      <c r="BW103" s="196"/>
      <c r="BX103" s="196"/>
      <c r="BY103" s="196"/>
      <c r="BZ103" s="19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99.75" x14ac:dyDescent="0.25">
      <c r="A104" s="197">
        <v>11700</v>
      </c>
      <c r="B104" s="194" t="s">
        <v>29</v>
      </c>
      <c r="C104" s="198" t="s">
        <v>328</v>
      </c>
      <c r="D104" s="194" t="s">
        <v>256</v>
      </c>
      <c r="E104" s="198" t="s">
        <v>418</v>
      </c>
      <c r="F104" s="201" t="s">
        <v>819</v>
      </c>
      <c r="G104" s="209" t="s">
        <v>659</v>
      </c>
      <c r="H104" s="216">
        <v>1</v>
      </c>
      <c r="I104" s="198" t="s">
        <v>420</v>
      </c>
      <c r="J104" s="201" t="s">
        <v>820</v>
      </c>
      <c r="K104" s="210">
        <v>27880404</v>
      </c>
      <c r="L104" s="211">
        <v>1</v>
      </c>
      <c r="M104" s="194" t="s">
        <v>45</v>
      </c>
      <c r="N104" s="194" t="s">
        <v>54</v>
      </c>
      <c r="O104" s="194" t="s">
        <v>37</v>
      </c>
      <c r="P104" s="194" t="s">
        <v>38</v>
      </c>
      <c r="Q104" s="194" t="s">
        <v>218</v>
      </c>
      <c r="R104" s="201" t="s">
        <v>822</v>
      </c>
      <c r="S104" s="194" t="s">
        <v>104</v>
      </c>
      <c r="T104" s="216">
        <v>1</v>
      </c>
      <c r="U104" s="212" t="str">
        <f t="shared" si="43"/>
        <v>Consolidar, organizar y actualizar los expedientes de hojas de vida de los funcionarios de planta de la ADRES</v>
      </c>
      <c r="V104" s="213">
        <f t="shared" si="43"/>
        <v>27880404</v>
      </c>
      <c r="W104" s="222" t="s">
        <v>114</v>
      </c>
      <c r="X104" s="216">
        <v>0.25</v>
      </c>
      <c r="Y104" s="214" t="s">
        <v>566</v>
      </c>
      <c r="Z104" s="210">
        <v>6970101</v>
      </c>
      <c r="AA104" s="196"/>
      <c r="AB104" s="196"/>
      <c r="AC104" s="204">
        <f t="shared" si="44"/>
        <v>0</v>
      </c>
      <c r="AD104" s="204">
        <f t="shared" si="45"/>
        <v>0</v>
      </c>
      <c r="AE104" s="204">
        <f t="shared" si="31"/>
        <v>0</v>
      </c>
      <c r="AF104" s="204">
        <f t="shared" si="32"/>
        <v>0</v>
      </c>
      <c r="AG104" s="216">
        <v>0.25</v>
      </c>
      <c r="AH104" s="214" t="s">
        <v>566</v>
      </c>
      <c r="AI104" s="210">
        <v>6970101</v>
      </c>
      <c r="AJ104" s="196"/>
      <c r="AK104" s="196">
        <v>0</v>
      </c>
      <c r="AL104" s="204">
        <f t="shared" si="46"/>
        <v>0</v>
      </c>
      <c r="AM104" s="204">
        <f t="shared" si="33"/>
        <v>0</v>
      </c>
      <c r="AN104" s="204">
        <f t="shared" si="34"/>
        <v>0</v>
      </c>
      <c r="AO104" s="204">
        <f t="shared" si="35"/>
        <v>0</v>
      </c>
      <c r="AP104" s="216">
        <v>0.25</v>
      </c>
      <c r="AQ104" s="214" t="s">
        <v>566</v>
      </c>
      <c r="AR104" s="210">
        <v>6970101</v>
      </c>
      <c r="AS104" s="196">
        <v>0</v>
      </c>
      <c r="AT104" s="196"/>
      <c r="AU104" s="204">
        <f t="shared" si="47"/>
        <v>0</v>
      </c>
      <c r="AV104" s="204">
        <f t="shared" si="48"/>
        <v>0</v>
      </c>
      <c r="AW104" s="204">
        <f t="shared" si="49"/>
        <v>0</v>
      </c>
      <c r="AX104" s="204">
        <f t="shared" si="50"/>
        <v>0</v>
      </c>
      <c r="AY104" s="216">
        <v>0.25</v>
      </c>
      <c r="AZ104" s="214" t="s">
        <v>566</v>
      </c>
      <c r="BA104" s="210">
        <v>6970101</v>
      </c>
      <c r="BB104" s="196"/>
      <c r="BC104" s="196"/>
      <c r="BD104" s="216">
        <f t="shared" si="51"/>
        <v>0</v>
      </c>
      <c r="BE104" s="216">
        <f t="shared" si="52"/>
        <v>0</v>
      </c>
      <c r="BF104" s="216">
        <f t="shared" si="53"/>
        <v>0</v>
      </c>
      <c r="BG104" s="216">
        <f t="shared" si="54"/>
        <v>0</v>
      </c>
      <c r="BH104" s="243">
        <f t="shared" si="36"/>
        <v>0</v>
      </c>
      <c r="BI104" s="243">
        <f t="shared" si="37"/>
        <v>0</v>
      </c>
      <c r="BJ104" s="243">
        <f t="shared" si="38"/>
        <v>0</v>
      </c>
      <c r="BK104" s="243">
        <f t="shared" si="39"/>
        <v>0</v>
      </c>
      <c r="BL104" s="243">
        <f t="shared" si="55"/>
        <v>0</v>
      </c>
      <c r="BM104" s="243">
        <f t="shared" si="56"/>
        <v>0</v>
      </c>
      <c r="BN104" s="243">
        <f t="shared" si="40"/>
        <v>0</v>
      </c>
      <c r="BO104" s="243">
        <f t="shared" si="41"/>
        <v>0</v>
      </c>
      <c r="BP104" s="206"/>
      <c r="BQ104" s="277">
        <v>7</v>
      </c>
      <c r="BR104" s="208">
        <f t="shared" si="42"/>
        <v>0.58333333333333337</v>
      </c>
      <c r="BS104" s="219" t="str">
        <f t="shared" si="57"/>
        <v>Consolidar, organizar y actualizar los expedientes de hojas de vida de los funcionarios de planta de la ADRES</v>
      </c>
      <c r="BT104" s="195">
        <f t="shared" si="30"/>
        <v>16263569</v>
      </c>
      <c r="BU104" s="196"/>
      <c r="BV104" s="196"/>
      <c r="BW104" s="196"/>
      <c r="BX104" s="196"/>
      <c r="BY104" s="196"/>
      <c r="BZ104" s="19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99.75" x14ac:dyDescent="0.25">
      <c r="A105" s="197">
        <v>11700</v>
      </c>
      <c r="B105" s="194" t="s">
        <v>29</v>
      </c>
      <c r="C105" s="198" t="s">
        <v>328</v>
      </c>
      <c r="D105" s="194" t="s">
        <v>256</v>
      </c>
      <c r="E105" s="198" t="s">
        <v>418</v>
      </c>
      <c r="F105" s="194" t="s">
        <v>419</v>
      </c>
      <c r="G105" s="209"/>
      <c r="H105" s="216">
        <v>1</v>
      </c>
      <c r="I105" s="198" t="s">
        <v>630</v>
      </c>
      <c r="J105" s="194" t="s">
        <v>421</v>
      </c>
      <c r="K105" s="210">
        <v>48960000</v>
      </c>
      <c r="L105" s="211">
        <v>1</v>
      </c>
      <c r="M105" s="194" t="s">
        <v>45</v>
      </c>
      <c r="N105" s="194" t="s">
        <v>54</v>
      </c>
      <c r="O105" s="194" t="s">
        <v>37</v>
      </c>
      <c r="P105" s="194" t="s">
        <v>38</v>
      </c>
      <c r="Q105" s="194" t="s">
        <v>218</v>
      </c>
      <c r="R105" s="194" t="s">
        <v>379</v>
      </c>
      <c r="S105" s="194" t="s">
        <v>104</v>
      </c>
      <c r="T105" s="216">
        <v>1</v>
      </c>
      <c r="U105" s="212" t="str">
        <f t="shared" si="43"/>
        <v>Expedición de Certificaciones de Personal</v>
      </c>
      <c r="V105" s="213">
        <f t="shared" si="43"/>
        <v>48960000</v>
      </c>
      <c r="W105" s="222" t="s">
        <v>114</v>
      </c>
      <c r="X105" s="216">
        <v>0.25</v>
      </c>
      <c r="Y105" s="214" t="s">
        <v>421</v>
      </c>
      <c r="Z105" s="210">
        <v>12240000</v>
      </c>
      <c r="AA105" s="196"/>
      <c r="AB105" s="196"/>
      <c r="AC105" s="204">
        <f t="shared" si="44"/>
        <v>0</v>
      </c>
      <c r="AD105" s="204">
        <f t="shared" si="45"/>
        <v>0</v>
      </c>
      <c r="AE105" s="204">
        <f t="shared" si="31"/>
        <v>0</v>
      </c>
      <c r="AF105" s="204">
        <f t="shared" si="32"/>
        <v>0</v>
      </c>
      <c r="AG105" s="216">
        <v>0.25</v>
      </c>
      <c r="AH105" s="214" t="s">
        <v>421</v>
      </c>
      <c r="AI105" s="210">
        <v>12240000</v>
      </c>
      <c r="AJ105" s="196"/>
      <c r="AK105" s="196"/>
      <c r="AL105" s="204">
        <f t="shared" si="46"/>
        <v>0</v>
      </c>
      <c r="AM105" s="204">
        <f t="shared" si="33"/>
        <v>0</v>
      </c>
      <c r="AN105" s="204">
        <f t="shared" si="34"/>
        <v>0</v>
      </c>
      <c r="AO105" s="204">
        <f t="shared" si="35"/>
        <v>0</v>
      </c>
      <c r="AP105" s="216">
        <v>0.25</v>
      </c>
      <c r="AQ105" s="214" t="s">
        <v>421</v>
      </c>
      <c r="AR105" s="210">
        <v>12240000</v>
      </c>
      <c r="AS105" s="196"/>
      <c r="AT105" s="196"/>
      <c r="AU105" s="204">
        <f t="shared" si="47"/>
        <v>0</v>
      </c>
      <c r="AV105" s="204">
        <f t="shared" si="48"/>
        <v>0</v>
      </c>
      <c r="AW105" s="204">
        <f t="shared" si="49"/>
        <v>0</v>
      </c>
      <c r="AX105" s="204">
        <f t="shared" si="50"/>
        <v>0</v>
      </c>
      <c r="AY105" s="216">
        <v>0.25</v>
      </c>
      <c r="AZ105" s="214" t="s">
        <v>421</v>
      </c>
      <c r="BA105" s="210">
        <v>12240000</v>
      </c>
      <c r="BB105" s="196"/>
      <c r="BC105" s="196"/>
      <c r="BD105" s="216">
        <f t="shared" si="51"/>
        <v>0</v>
      </c>
      <c r="BE105" s="216">
        <f t="shared" si="52"/>
        <v>0</v>
      </c>
      <c r="BF105" s="216">
        <f t="shared" si="53"/>
        <v>0</v>
      </c>
      <c r="BG105" s="216">
        <f t="shared" si="54"/>
        <v>0</v>
      </c>
      <c r="BH105" s="243">
        <f t="shared" si="36"/>
        <v>0</v>
      </c>
      <c r="BI105" s="243">
        <f t="shared" si="37"/>
        <v>0</v>
      </c>
      <c r="BJ105" s="243">
        <f t="shared" si="38"/>
        <v>0</v>
      </c>
      <c r="BK105" s="243">
        <f t="shared" si="39"/>
        <v>0</v>
      </c>
      <c r="BL105" s="243">
        <f t="shared" si="55"/>
        <v>0</v>
      </c>
      <c r="BM105" s="243">
        <f t="shared" si="56"/>
        <v>0</v>
      </c>
      <c r="BN105" s="243">
        <f t="shared" si="40"/>
        <v>0</v>
      </c>
      <c r="BO105" s="243">
        <f t="shared" si="41"/>
        <v>0</v>
      </c>
      <c r="BP105" s="206"/>
      <c r="BQ105" s="277">
        <v>7</v>
      </c>
      <c r="BR105" s="208">
        <f t="shared" si="42"/>
        <v>0.58333333333333337</v>
      </c>
      <c r="BS105" s="219" t="str">
        <f t="shared" si="57"/>
        <v>Expedición de Certificaciones de Personal</v>
      </c>
      <c r="BT105" s="195">
        <f t="shared" si="30"/>
        <v>28560000</v>
      </c>
      <c r="BU105" s="196"/>
      <c r="BV105" s="196"/>
      <c r="BW105" s="196"/>
      <c r="BX105" s="196"/>
      <c r="BY105" s="196"/>
      <c r="BZ105" s="19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99.75" x14ac:dyDescent="0.25">
      <c r="A106" s="197">
        <v>11700</v>
      </c>
      <c r="B106" s="194" t="s">
        <v>29</v>
      </c>
      <c r="C106" s="198" t="s">
        <v>328</v>
      </c>
      <c r="D106" s="194" t="s">
        <v>256</v>
      </c>
      <c r="E106" s="198" t="s">
        <v>422</v>
      </c>
      <c r="F106" s="194" t="s">
        <v>755</v>
      </c>
      <c r="G106" s="209" t="s">
        <v>123</v>
      </c>
      <c r="H106" s="211">
        <v>1</v>
      </c>
      <c r="I106" s="198" t="s">
        <v>423</v>
      </c>
      <c r="J106" s="194" t="s">
        <v>756</v>
      </c>
      <c r="K106" s="210">
        <v>100000000</v>
      </c>
      <c r="L106" s="211">
        <v>1</v>
      </c>
      <c r="M106" s="194" t="s">
        <v>48</v>
      </c>
      <c r="N106" s="194" t="s">
        <v>68</v>
      </c>
      <c r="O106" s="194" t="s">
        <v>37</v>
      </c>
      <c r="P106" s="194" t="s">
        <v>38</v>
      </c>
      <c r="Q106" s="194" t="s">
        <v>229</v>
      </c>
      <c r="R106" s="194" t="s">
        <v>670</v>
      </c>
      <c r="S106" s="194" t="s">
        <v>99</v>
      </c>
      <c r="T106" s="216">
        <v>1</v>
      </c>
      <c r="U106" s="212" t="str">
        <f t="shared" si="43"/>
        <v>Publicación Actos Administrativos Diario Oficial y diario de amplia circulación</v>
      </c>
      <c r="V106" s="213">
        <f t="shared" si="43"/>
        <v>100000000</v>
      </c>
      <c r="W106" s="222" t="s">
        <v>114</v>
      </c>
      <c r="X106" s="216">
        <v>0</v>
      </c>
      <c r="Y106" s="214" t="s">
        <v>424</v>
      </c>
      <c r="Z106" s="210">
        <v>0</v>
      </c>
      <c r="AA106" s="196"/>
      <c r="AB106" s="196"/>
      <c r="AC106" s="204" t="e">
        <f t="shared" si="44"/>
        <v>#DIV/0!</v>
      </c>
      <c r="AD106" s="204" t="e">
        <f t="shared" si="45"/>
        <v>#DIV/0!</v>
      </c>
      <c r="AE106" s="204">
        <f t="shared" si="31"/>
        <v>0</v>
      </c>
      <c r="AF106" s="204">
        <f t="shared" si="32"/>
        <v>0</v>
      </c>
      <c r="AG106" s="216">
        <v>0.5</v>
      </c>
      <c r="AH106" s="214" t="s">
        <v>424</v>
      </c>
      <c r="AI106" s="210">
        <v>50000000</v>
      </c>
      <c r="AJ106" s="196"/>
      <c r="AK106" s="196"/>
      <c r="AL106" s="204">
        <f t="shared" si="46"/>
        <v>0</v>
      </c>
      <c r="AM106" s="204">
        <f t="shared" si="33"/>
        <v>0</v>
      </c>
      <c r="AN106" s="204">
        <f t="shared" si="34"/>
        <v>0</v>
      </c>
      <c r="AO106" s="204">
        <f t="shared" si="35"/>
        <v>0</v>
      </c>
      <c r="AP106" s="216"/>
      <c r="AQ106" s="214" t="s">
        <v>424</v>
      </c>
      <c r="AR106" s="210">
        <v>0</v>
      </c>
      <c r="AS106" s="196"/>
      <c r="AT106" s="196"/>
      <c r="AU106" s="204" t="e">
        <f t="shared" si="47"/>
        <v>#DIV/0!</v>
      </c>
      <c r="AV106" s="204" t="e">
        <f t="shared" si="48"/>
        <v>#DIV/0!</v>
      </c>
      <c r="AW106" s="204">
        <f t="shared" si="49"/>
        <v>0</v>
      </c>
      <c r="AX106" s="204">
        <f t="shared" si="50"/>
        <v>0</v>
      </c>
      <c r="AY106" s="216">
        <v>0.5</v>
      </c>
      <c r="AZ106" s="214" t="s">
        <v>424</v>
      </c>
      <c r="BA106" s="210">
        <v>50000000</v>
      </c>
      <c r="BB106" s="196"/>
      <c r="BC106" s="196"/>
      <c r="BD106" s="216">
        <f t="shared" si="51"/>
        <v>0</v>
      </c>
      <c r="BE106" s="216">
        <f t="shared" si="52"/>
        <v>0</v>
      </c>
      <c r="BF106" s="216">
        <f t="shared" si="53"/>
        <v>0</v>
      </c>
      <c r="BG106" s="216">
        <f t="shared" si="54"/>
        <v>0</v>
      </c>
      <c r="BH106" s="228" t="str">
        <f t="shared" si="36"/>
        <v>No Prog ni Ejec</v>
      </c>
      <c r="BI106" s="228" t="str">
        <f t="shared" si="37"/>
        <v>No Prog ni Ejec</v>
      </c>
      <c r="BJ106" s="228">
        <f t="shared" si="38"/>
        <v>0</v>
      </c>
      <c r="BK106" s="228">
        <f t="shared" si="39"/>
        <v>0</v>
      </c>
      <c r="BL106" s="228" t="str">
        <f t="shared" si="55"/>
        <v>No Prog ni Ejec</v>
      </c>
      <c r="BM106" s="228" t="str">
        <f t="shared" si="56"/>
        <v>No Prog ni Ejec</v>
      </c>
      <c r="BN106" s="228">
        <f t="shared" si="40"/>
        <v>0</v>
      </c>
      <c r="BO106" s="228">
        <f t="shared" si="41"/>
        <v>0</v>
      </c>
      <c r="BP106" s="206"/>
      <c r="BQ106" s="277">
        <v>7</v>
      </c>
      <c r="BR106" s="208">
        <f t="shared" si="42"/>
        <v>0.5</v>
      </c>
      <c r="BS106" s="219" t="str">
        <f t="shared" si="57"/>
        <v>Publicación Actos Administrativos Diario Oficial y diario de amplia circulación</v>
      </c>
      <c r="BT106" s="195">
        <f t="shared" si="30"/>
        <v>50000000</v>
      </c>
      <c r="BU106" s="196"/>
      <c r="BV106" s="196"/>
      <c r="BW106" s="196"/>
      <c r="BX106" s="196"/>
      <c r="BY106" s="196"/>
      <c r="BZ106" s="19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99.75" x14ac:dyDescent="0.25">
      <c r="A107" s="197">
        <v>11700</v>
      </c>
      <c r="B107" s="194" t="s">
        <v>29</v>
      </c>
      <c r="C107" s="198" t="s">
        <v>328</v>
      </c>
      <c r="D107" s="194" t="s">
        <v>256</v>
      </c>
      <c r="E107" s="198" t="s">
        <v>425</v>
      </c>
      <c r="F107" s="194" t="s">
        <v>426</v>
      </c>
      <c r="G107" s="209" t="s">
        <v>123</v>
      </c>
      <c r="H107" s="216">
        <v>1</v>
      </c>
      <c r="I107" s="198" t="s">
        <v>427</v>
      </c>
      <c r="J107" s="194" t="s">
        <v>428</v>
      </c>
      <c r="K107" s="210">
        <v>4583312678.8699999</v>
      </c>
      <c r="L107" s="211">
        <v>1</v>
      </c>
      <c r="M107" s="194" t="s">
        <v>51</v>
      </c>
      <c r="N107" s="194" t="s">
        <v>56</v>
      </c>
      <c r="O107" s="194" t="s">
        <v>37</v>
      </c>
      <c r="P107" s="194" t="s">
        <v>41</v>
      </c>
      <c r="Q107" s="194" t="s">
        <v>222</v>
      </c>
      <c r="R107" s="194" t="s">
        <v>379</v>
      </c>
      <c r="S107" s="194" t="s">
        <v>99</v>
      </c>
      <c r="T107" s="211">
        <v>1</v>
      </c>
      <c r="U107" s="212" t="str">
        <f t="shared" si="43"/>
        <v>Funcionamiento continuo de las instalaciones de la ADRES</v>
      </c>
      <c r="V107" s="213">
        <f t="shared" si="43"/>
        <v>4583312678.8699999</v>
      </c>
      <c r="W107" s="222" t="s">
        <v>114</v>
      </c>
      <c r="X107" s="216">
        <v>0.2</v>
      </c>
      <c r="Y107" s="214" t="s">
        <v>428</v>
      </c>
      <c r="Z107" s="210">
        <f>+V107*X107</f>
        <v>916662535.77400005</v>
      </c>
      <c r="AA107" s="196"/>
      <c r="AB107" s="196"/>
      <c r="AC107" s="204">
        <f t="shared" si="44"/>
        <v>0</v>
      </c>
      <c r="AD107" s="204">
        <f t="shared" si="45"/>
        <v>0</v>
      </c>
      <c r="AE107" s="204">
        <f t="shared" si="31"/>
        <v>0</v>
      </c>
      <c r="AF107" s="204">
        <f t="shared" si="32"/>
        <v>0</v>
      </c>
      <c r="AG107" s="216">
        <v>0.2</v>
      </c>
      <c r="AH107" s="214" t="s">
        <v>428</v>
      </c>
      <c r="AI107" s="210">
        <v>916662535.77400005</v>
      </c>
      <c r="AJ107" s="196"/>
      <c r="AK107" s="196"/>
      <c r="AL107" s="204">
        <f t="shared" si="46"/>
        <v>0</v>
      </c>
      <c r="AM107" s="204">
        <f t="shared" si="33"/>
        <v>0</v>
      </c>
      <c r="AN107" s="204">
        <f t="shared" si="34"/>
        <v>0</v>
      </c>
      <c r="AO107" s="204">
        <f t="shared" si="35"/>
        <v>0</v>
      </c>
      <c r="AP107" s="216">
        <v>0.3</v>
      </c>
      <c r="AQ107" s="214" t="s">
        <v>428</v>
      </c>
      <c r="AR107" s="210">
        <f>+AP107*V107</f>
        <v>1374993803.661</v>
      </c>
      <c r="AS107" s="196"/>
      <c r="AT107" s="196"/>
      <c r="AU107" s="204">
        <f t="shared" si="47"/>
        <v>0</v>
      </c>
      <c r="AV107" s="204">
        <f t="shared" si="48"/>
        <v>0</v>
      </c>
      <c r="AW107" s="204">
        <f t="shared" si="49"/>
        <v>0</v>
      </c>
      <c r="AX107" s="204">
        <f t="shared" si="50"/>
        <v>0</v>
      </c>
      <c r="AY107" s="216">
        <v>0.3</v>
      </c>
      <c r="AZ107" s="214" t="s">
        <v>428</v>
      </c>
      <c r="BA107" s="210">
        <v>1374993803.661</v>
      </c>
      <c r="BB107" s="196"/>
      <c r="BC107" s="196"/>
      <c r="BD107" s="216">
        <f t="shared" si="51"/>
        <v>0</v>
      </c>
      <c r="BE107" s="216">
        <f t="shared" si="52"/>
        <v>0</v>
      </c>
      <c r="BF107" s="216">
        <f t="shared" si="53"/>
        <v>0</v>
      </c>
      <c r="BG107" s="216">
        <f t="shared" si="54"/>
        <v>0</v>
      </c>
      <c r="BH107" s="207">
        <f t="shared" si="36"/>
        <v>0</v>
      </c>
      <c r="BI107" s="207">
        <f t="shared" si="37"/>
        <v>0</v>
      </c>
      <c r="BJ107" s="207">
        <f t="shared" si="38"/>
        <v>0</v>
      </c>
      <c r="BK107" s="207">
        <f t="shared" si="39"/>
        <v>0</v>
      </c>
      <c r="BL107" s="207">
        <f t="shared" si="55"/>
        <v>0</v>
      </c>
      <c r="BM107" s="207">
        <f t="shared" si="56"/>
        <v>0</v>
      </c>
      <c r="BN107" s="207">
        <f t="shared" si="40"/>
        <v>0</v>
      </c>
      <c r="BO107" s="207">
        <f t="shared" si="41"/>
        <v>0</v>
      </c>
      <c r="BP107" s="206" t="s">
        <v>769</v>
      </c>
      <c r="BQ107" s="277">
        <v>7</v>
      </c>
      <c r="BR107" s="208">
        <f t="shared" si="42"/>
        <v>0.5</v>
      </c>
      <c r="BS107" s="219" t="str">
        <f t="shared" si="57"/>
        <v>Funcionamiento continuo de las instalaciones de la ADRES</v>
      </c>
      <c r="BT107" s="195">
        <f t="shared" si="30"/>
        <v>2291656339.4349999</v>
      </c>
      <c r="BU107" s="196"/>
      <c r="BV107" s="196"/>
      <c r="BW107" s="196"/>
      <c r="BX107" s="196"/>
      <c r="BY107" s="196"/>
      <c r="BZ107" s="19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99.75" x14ac:dyDescent="0.25">
      <c r="A108" s="197">
        <v>11700</v>
      </c>
      <c r="B108" s="194" t="s">
        <v>29</v>
      </c>
      <c r="C108" s="198" t="s">
        <v>328</v>
      </c>
      <c r="D108" s="194" t="s">
        <v>256</v>
      </c>
      <c r="E108" s="198" t="s">
        <v>429</v>
      </c>
      <c r="F108" s="194" t="s">
        <v>430</v>
      </c>
      <c r="G108" s="209" t="s">
        <v>123</v>
      </c>
      <c r="H108" s="216">
        <v>1</v>
      </c>
      <c r="I108" s="198" t="s">
        <v>457</v>
      </c>
      <c r="J108" s="194" t="s">
        <v>761</v>
      </c>
      <c r="K108" s="210">
        <v>570000000</v>
      </c>
      <c r="L108" s="211">
        <v>1</v>
      </c>
      <c r="M108" s="194" t="s">
        <v>51</v>
      </c>
      <c r="N108" s="194" t="s">
        <v>56</v>
      </c>
      <c r="O108" s="194" t="s">
        <v>37</v>
      </c>
      <c r="P108" s="194" t="s">
        <v>41</v>
      </c>
      <c r="Q108" s="194" t="s">
        <v>222</v>
      </c>
      <c r="R108" s="194" t="s">
        <v>657</v>
      </c>
      <c r="S108" s="194" t="s">
        <v>99</v>
      </c>
      <c r="T108" s="216">
        <v>1</v>
      </c>
      <c r="U108" s="212" t="str">
        <f t="shared" si="43"/>
        <v xml:space="preserve">Suministro de Tiquetes Aéreos y Viáticos </v>
      </c>
      <c r="V108" s="213">
        <f t="shared" si="43"/>
        <v>570000000</v>
      </c>
      <c r="W108" s="222" t="s">
        <v>114</v>
      </c>
      <c r="X108" s="216">
        <v>0.25</v>
      </c>
      <c r="Y108" s="214" t="s">
        <v>761</v>
      </c>
      <c r="Z108" s="210">
        <f>+X108*V108</f>
        <v>142500000</v>
      </c>
      <c r="AA108" s="196"/>
      <c r="AB108" s="196"/>
      <c r="AC108" s="204">
        <f t="shared" si="44"/>
        <v>0</v>
      </c>
      <c r="AD108" s="204">
        <f t="shared" si="45"/>
        <v>0</v>
      </c>
      <c r="AE108" s="204">
        <f t="shared" si="31"/>
        <v>0</v>
      </c>
      <c r="AF108" s="204">
        <f t="shared" si="32"/>
        <v>0</v>
      </c>
      <c r="AG108" s="216">
        <v>0.25</v>
      </c>
      <c r="AH108" s="214" t="s">
        <v>761</v>
      </c>
      <c r="AI108" s="210">
        <f>+AG108*V108</f>
        <v>142500000</v>
      </c>
      <c r="AJ108" s="196"/>
      <c r="AK108" s="196"/>
      <c r="AL108" s="204">
        <f t="shared" si="46"/>
        <v>0</v>
      </c>
      <c r="AM108" s="204">
        <f t="shared" si="33"/>
        <v>0</v>
      </c>
      <c r="AN108" s="204">
        <f t="shared" si="34"/>
        <v>0</v>
      </c>
      <c r="AO108" s="204">
        <f t="shared" si="35"/>
        <v>0</v>
      </c>
      <c r="AP108" s="216">
        <v>0.25</v>
      </c>
      <c r="AQ108" s="214" t="s">
        <v>761</v>
      </c>
      <c r="AR108" s="210">
        <f>+AP108*V108</f>
        <v>142500000</v>
      </c>
      <c r="AS108" s="196"/>
      <c r="AT108" s="196"/>
      <c r="AU108" s="204">
        <f t="shared" si="47"/>
        <v>0</v>
      </c>
      <c r="AV108" s="204">
        <f t="shared" si="48"/>
        <v>0</v>
      </c>
      <c r="AW108" s="204">
        <f t="shared" si="49"/>
        <v>0</v>
      </c>
      <c r="AX108" s="204">
        <f t="shared" si="50"/>
        <v>0</v>
      </c>
      <c r="AY108" s="216">
        <v>0.25</v>
      </c>
      <c r="AZ108" s="214" t="s">
        <v>761</v>
      </c>
      <c r="BA108" s="210">
        <f>+AY108*V108</f>
        <v>142500000</v>
      </c>
      <c r="BB108" s="196"/>
      <c r="BC108" s="196"/>
      <c r="BD108" s="216">
        <f t="shared" si="51"/>
        <v>0</v>
      </c>
      <c r="BE108" s="216">
        <f t="shared" si="52"/>
        <v>0</v>
      </c>
      <c r="BF108" s="216">
        <f t="shared" si="53"/>
        <v>0</v>
      </c>
      <c r="BG108" s="216">
        <f t="shared" si="54"/>
        <v>0</v>
      </c>
      <c r="BH108" s="207">
        <f t="shared" si="36"/>
        <v>0</v>
      </c>
      <c r="BI108" s="207">
        <f t="shared" si="37"/>
        <v>0</v>
      </c>
      <c r="BJ108" s="207">
        <f t="shared" si="38"/>
        <v>0</v>
      </c>
      <c r="BK108" s="207">
        <f t="shared" si="39"/>
        <v>0</v>
      </c>
      <c r="BL108" s="207">
        <f t="shared" si="55"/>
        <v>0</v>
      </c>
      <c r="BM108" s="207">
        <f t="shared" si="56"/>
        <v>0</v>
      </c>
      <c r="BN108" s="207">
        <f t="shared" si="40"/>
        <v>0</v>
      </c>
      <c r="BO108" s="207">
        <f t="shared" si="41"/>
        <v>0</v>
      </c>
      <c r="BP108" s="206"/>
      <c r="BQ108" s="277">
        <v>7</v>
      </c>
      <c r="BR108" s="208">
        <f t="shared" si="42"/>
        <v>0.58333333333333337</v>
      </c>
      <c r="BS108" s="219" t="str">
        <f t="shared" si="57"/>
        <v xml:space="preserve">Suministro de Tiquetes Aéreos y Viáticos </v>
      </c>
      <c r="BT108" s="195">
        <f t="shared" si="30"/>
        <v>332500000</v>
      </c>
      <c r="BU108" s="196"/>
      <c r="BV108" s="196"/>
      <c r="BW108" s="196"/>
      <c r="BX108" s="196"/>
      <c r="BY108" s="196"/>
      <c r="BZ108" s="19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99.75" x14ac:dyDescent="0.25">
      <c r="A109" s="197">
        <v>11700</v>
      </c>
      <c r="B109" s="194" t="s">
        <v>29</v>
      </c>
      <c r="C109" s="198" t="s">
        <v>328</v>
      </c>
      <c r="D109" s="194" t="s">
        <v>256</v>
      </c>
      <c r="E109" s="198" t="s">
        <v>431</v>
      </c>
      <c r="F109" s="194" t="s">
        <v>433</v>
      </c>
      <c r="G109" s="209" t="s">
        <v>123</v>
      </c>
      <c r="H109" s="211">
        <v>1</v>
      </c>
      <c r="I109" s="198" t="s">
        <v>432</v>
      </c>
      <c r="J109" s="194" t="s">
        <v>434</v>
      </c>
      <c r="K109" s="210">
        <v>1170191442</v>
      </c>
      <c r="L109" s="211">
        <v>1</v>
      </c>
      <c r="M109" s="194" t="s">
        <v>46</v>
      </c>
      <c r="N109" s="194" t="s">
        <v>59</v>
      </c>
      <c r="O109" s="194" t="s">
        <v>37</v>
      </c>
      <c r="P109" s="194" t="s">
        <v>40</v>
      </c>
      <c r="Q109" s="194" t="s">
        <v>221</v>
      </c>
      <c r="R109" s="194" t="s">
        <v>643</v>
      </c>
      <c r="S109" s="194" t="s">
        <v>99</v>
      </c>
      <c r="T109" s="244">
        <v>1</v>
      </c>
      <c r="U109" s="212" t="str">
        <f t="shared" si="43"/>
        <v xml:space="preserve">Garantizar la gestión de correspondencia de la entidad </v>
      </c>
      <c r="V109" s="213">
        <f t="shared" si="43"/>
        <v>1170191442</v>
      </c>
      <c r="W109" s="222" t="s">
        <v>114</v>
      </c>
      <c r="X109" s="216">
        <v>0.25</v>
      </c>
      <c r="Y109" s="214" t="s">
        <v>434</v>
      </c>
      <c r="Z109" s="210">
        <v>292547860.5</v>
      </c>
      <c r="AA109" s="196"/>
      <c r="AB109" s="196"/>
      <c r="AC109" s="204">
        <f t="shared" si="44"/>
        <v>0</v>
      </c>
      <c r="AD109" s="204">
        <f t="shared" si="45"/>
        <v>0</v>
      </c>
      <c r="AE109" s="204">
        <f t="shared" si="31"/>
        <v>0</v>
      </c>
      <c r="AF109" s="204">
        <f t="shared" si="32"/>
        <v>0</v>
      </c>
      <c r="AG109" s="216">
        <v>0.25</v>
      </c>
      <c r="AH109" s="214" t="s">
        <v>434</v>
      </c>
      <c r="AI109" s="210">
        <v>292547860.5</v>
      </c>
      <c r="AJ109" s="196"/>
      <c r="AK109" s="196"/>
      <c r="AL109" s="204">
        <f t="shared" si="46"/>
        <v>0</v>
      </c>
      <c r="AM109" s="204">
        <f t="shared" si="33"/>
        <v>0</v>
      </c>
      <c r="AN109" s="204">
        <f t="shared" si="34"/>
        <v>0</v>
      </c>
      <c r="AO109" s="204">
        <f t="shared" si="35"/>
        <v>0</v>
      </c>
      <c r="AP109" s="216">
        <v>0.25</v>
      </c>
      <c r="AQ109" s="214" t="s">
        <v>434</v>
      </c>
      <c r="AR109" s="210">
        <v>292547860.5</v>
      </c>
      <c r="AS109" s="196"/>
      <c r="AT109" s="196"/>
      <c r="AU109" s="204">
        <f t="shared" si="47"/>
        <v>0</v>
      </c>
      <c r="AV109" s="204">
        <f t="shared" si="48"/>
        <v>0</v>
      </c>
      <c r="AW109" s="204">
        <f t="shared" si="49"/>
        <v>0</v>
      </c>
      <c r="AX109" s="204">
        <f t="shared" si="50"/>
        <v>0</v>
      </c>
      <c r="AY109" s="216">
        <v>0.25</v>
      </c>
      <c r="AZ109" s="214" t="s">
        <v>434</v>
      </c>
      <c r="BA109" s="210">
        <v>292547860.5</v>
      </c>
      <c r="BB109" s="196"/>
      <c r="BC109" s="196"/>
      <c r="BD109" s="216">
        <f t="shared" si="51"/>
        <v>0</v>
      </c>
      <c r="BE109" s="216">
        <f t="shared" si="52"/>
        <v>0</v>
      </c>
      <c r="BF109" s="216">
        <f t="shared" si="53"/>
        <v>0</v>
      </c>
      <c r="BG109" s="216">
        <f t="shared" si="54"/>
        <v>0</v>
      </c>
      <c r="BH109" s="223">
        <f t="shared" si="36"/>
        <v>0</v>
      </c>
      <c r="BI109" s="223">
        <f t="shared" si="37"/>
        <v>0</v>
      </c>
      <c r="BJ109" s="223">
        <f t="shared" si="38"/>
        <v>0</v>
      </c>
      <c r="BK109" s="223">
        <f t="shared" si="39"/>
        <v>0</v>
      </c>
      <c r="BL109" s="223">
        <f t="shared" si="55"/>
        <v>0</v>
      </c>
      <c r="BM109" s="223">
        <f t="shared" si="56"/>
        <v>0</v>
      </c>
      <c r="BN109" s="223">
        <f t="shared" si="40"/>
        <v>0</v>
      </c>
      <c r="BO109" s="223">
        <f t="shared" si="41"/>
        <v>0</v>
      </c>
      <c r="BP109" s="206"/>
      <c r="BQ109" s="277">
        <v>7</v>
      </c>
      <c r="BR109" s="208">
        <f t="shared" si="42"/>
        <v>0.58333333333333337</v>
      </c>
      <c r="BS109" s="219" t="str">
        <f t="shared" si="57"/>
        <v xml:space="preserve">Garantizar la gestión de correspondencia de la entidad </v>
      </c>
      <c r="BT109" s="195">
        <f t="shared" si="30"/>
        <v>682611674.5</v>
      </c>
      <c r="BU109" s="196"/>
      <c r="BV109" s="196"/>
      <c r="BW109" s="196"/>
      <c r="BX109" s="196"/>
      <c r="BY109" s="196"/>
      <c r="BZ109" s="19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99.75" x14ac:dyDescent="0.25">
      <c r="A110" s="197">
        <v>11700</v>
      </c>
      <c r="B110" s="194" t="s">
        <v>29</v>
      </c>
      <c r="C110" s="198" t="s">
        <v>328</v>
      </c>
      <c r="D110" s="194" t="s">
        <v>256</v>
      </c>
      <c r="E110" s="198" t="s">
        <v>644</v>
      </c>
      <c r="F110" s="194" t="s">
        <v>652</v>
      </c>
      <c r="G110" s="209" t="s">
        <v>123</v>
      </c>
      <c r="H110" s="211">
        <v>1</v>
      </c>
      <c r="I110" s="198" t="s">
        <v>645</v>
      </c>
      <c r="J110" s="194" t="s">
        <v>653</v>
      </c>
      <c r="K110" s="210">
        <v>538238487.5</v>
      </c>
      <c r="L110" s="211">
        <v>1</v>
      </c>
      <c r="M110" s="194" t="s">
        <v>46</v>
      </c>
      <c r="N110" s="194" t="s">
        <v>59</v>
      </c>
      <c r="O110" s="194" t="s">
        <v>37</v>
      </c>
      <c r="P110" s="194" t="s">
        <v>40</v>
      </c>
      <c r="Q110" s="194" t="s">
        <v>220</v>
      </c>
      <c r="R110" s="194" t="s">
        <v>654</v>
      </c>
      <c r="S110" s="194" t="s">
        <v>101</v>
      </c>
      <c r="T110" s="244">
        <v>1</v>
      </c>
      <c r="U110" s="212" t="str">
        <f t="shared" si="43"/>
        <v>Garantizar la gestión de Servicio al ciudadano de la entidad  por los diferentes canales  de atención.</v>
      </c>
      <c r="V110" s="213">
        <f t="shared" si="43"/>
        <v>538238487.5</v>
      </c>
      <c r="W110" s="222" t="s">
        <v>114</v>
      </c>
      <c r="X110" s="281">
        <v>0.25</v>
      </c>
      <c r="Y110" s="282" t="s">
        <v>417</v>
      </c>
      <c r="Z110" s="283">
        <f>+X110*V110</f>
        <v>134559621.875</v>
      </c>
      <c r="AA110" s="279"/>
      <c r="AB110" s="279"/>
      <c r="AC110" s="280">
        <f t="shared" si="44"/>
        <v>0</v>
      </c>
      <c r="AD110" s="280">
        <f t="shared" si="45"/>
        <v>0</v>
      </c>
      <c r="AE110" s="280">
        <f t="shared" si="31"/>
        <v>0</v>
      </c>
      <c r="AF110" s="280">
        <f t="shared" si="32"/>
        <v>0</v>
      </c>
      <c r="AG110" s="281">
        <v>0.25</v>
      </c>
      <c r="AH110" s="282" t="s">
        <v>417</v>
      </c>
      <c r="AI110" s="283">
        <v>134559621.875</v>
      </c>
      <c r="AJ110" s="279"/>
      <c r="AK110" s="279"/>
      <c r="AL110" s="280">
        <f t="shared" si="46"/>
        <v>0</v>
      </c>
      <c r="AM110" s="280">
        <f t="shared" si="33"/>
        <v>0</v>
      </c>
      <c r="AN110" s="280">
        <f t="shared" si="34"/>
        <v>0</v>
      </c>
      <c r="AO110" s="280">
        <f t="shared" si="35"/>
        <v>0</v>
      </c>
      <c r="AP110" s="281">
        <v>0.25</v>
      </c>
      <c r="AQ110" s="282" t="s">
        <v>417</v>
      </c>
      <c r="AR110" s="283">
        <v>134559621.875</v>
      </c>
      <c r="AS110" s="279"/>
      <c r="AT110" s="279"/>
      <c r="AU110" s="280">
        <f t="shared" si="47"/>
        <v>0</v>
      </c>
      <c r="AV110" s="280">
        <f t="shared" si="48"/>
        <v>0</v>
      </c>
      <c r="AW110" s="280">
        <f t="shared" si="49"/>
        <v>0</v>
      </c>
      <c r="AX110" s="280">
        <f t="shared" si="50"/>
        <v>0</v>
      </c>
      <c r="AY110" s="281">
        <v>0.25</v>
      </c>
      <c r="AZ110" s="282" t="s">
        <v>417</v>
      </c>
      <c r="BA110" s="283">
        <v>134559621.875</v>
      </c>
      <c r="BB110" s="279"/>
      <c r="BC110" s="279"/>
      <c r="BD110" s="281">
        <f t="shared" si="51"/>
        <v>0</v>
      </c>
      <c r="BE110" s="281">
        <f t="shared" si="52"/>
        <v>0</v>
      </c>
      <c r="BF110" s="281">
        <f t="shared" si="53"/>
        <v>0</v>
      </c>
      <c r="BG110" s="281">
        <f t="shared" si="54"/>
        <v>0</v>
      </c>
      <c r="BH110" s="205">
        <f t="shared" si="36"/>
        <v>0</v>
      </c>
      <c r="BI110" s="205">
        <f t="shared" si="37"/>
        <v>0</v>
      </c>
      <c r="BJ110" s="205">
        <f t="shared" si="38"/>
        <v>0</v>
      </c>
      <c r="BK110" s="205">
        <f t="shared" si="39"/>
        <v>0</v>
      </c>
      <c r="BL110" s="205">
        <f t="shared" si="55"/>
        <v>0</v>
      </c>
      <c r="BM110" s="205">
        <f t="shared" si="56"/>
        <v>0</v>
      </c>
      <c r="BN110" s="205">
        <f t="shared" si="40"/>
        <v>0</v>
      </c>
      <c r="BO110" s="205">
        <f t="shared" si="41"/>
        <v>0</v>
      </c>
      <c r="BP110" s="206"/>
      <c r="BQ110" s="277">
        <v>11</v>
      </c>
      <c r="BR110" s="208">
        <f t="shared" si="42"/>
        <v>0.58333333333333337</v>
      </c>
      <c r="BS110" s="219" t="str">
        <f t="shared" si="57"/>
        <v>Garantizar la gestión de Servicio al ciudadano de la entidad  por los diferentes canales  de atención.</v>
      </c>
      <c r="BT110" s="195">
        <f t="shared" si="30"/>
        <v>313972451.04166669</v>
      </c>
      <c r="BU110" s="196"/>
      <c r="BV110" s="196"/>
      <c r="BW110" s="196"/>
      <c r="BX110" s="196"/>
      <c r="BY110" s="196"/>
      <c r="BZ110" s="19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71" x14ac:dyDescent="0.25">
      <c r="A111" s="197">
        <v>11700</v>
      </c>
      <c r="B111" s="194" t="s">
        <v>29</v>
      </c>
      <c r="C111" s="198" t="s">
        <v>328</v>
      </c>
      <c r="D111" s="194" t="s">
        <v>256</v>
      </c>
      <c r="E111" s="198" t="s">
        <v>650</v>
      </c>
      <c r="F111" s="194" t="s">
        <v>655</v>
      </c>
      <c r="G111" s="209" t="s">
        <v>123</v>
      </c>
      <c r="H111" s="211">
        <v>1</v>
      </c>
      <c r="I111" s="198" t="s">
        <v>651</v>
      </c>
      <c r="J111" s="194" t="s">
        <v>656</v>
      </c>
      <c r="K111" s="210">
        <v>48960000</v>
      </c>
      <c r="L111" s="211">
        <v>1</v>
      </c>
      <c r="M111" s="194" t="s">
        <v>46</v>
      </c>
      <c r="N111" s="194" t="s">
        <v>59</v>
      </c>
      <c r="O111" s="194" t="s">
        <v>37</v>
      </c>
      <c r="P111" s="194" t="s">
        <v>40</v>
      </c>
      <c r="Q111" s="194" t="s">
        <v>220</v>
      </c>
      <c r="R111" s="201" t="s">
        <v>821</v>
      </c>
      <c r="S111" s="194" t="s">
        <v>101</v>
      </c>
      <c r="T111" s="244">
        <v>1</v>
      </c>
      <c r="U111" s="212" t="str">
        <f t="shared" si="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13">
        <f t="shared" si="43"/>
        <v>48960000</v>
      </c>
      <c r="W111" s="222" t="s">
        <v>114</v>
      </c>
      <c r="X111" s="216">
        <v>0.25</v>
      </c>
      <c r="Y111" s="214" t="s">
        <v>656</v>
      </c>
      <c r="Z111" s="210">
        <v>12240000</v>
      </c>
      <c r="AA111" s="196"/>
      <c r="AB111" s="196"/>
      <c r="AC111" s="204">
        <f t="shared" si="44"/>
        <v>0</v>
      </c>
      <c r="AD111" s="204">
        <f t="shared" si="45"/>
        <v>0</v>
      </c>
      <c r="AE111" s="204">
        <f t="shared" si="31"/>
        <v>0</v>
      </c>
      <c r="AF111" s="204">
        <f t="shared" si="32"/>
        <v>0</v>
      </c>
      <c r="AG111" s="216">
        <v>0.25</v>
      </c>
      <c r="AH111" s="214" t="s">
        <v>656</v>
      </c>
      <c r="AI111" s="210">
        <v>12240000</v>
      </c>
      <c r="AJ111" s="196"/>
      <c r="AK111" s="196"/>
      <c r="AL111" s="204">
        <f t="shared" si="46"/>
        <v>0</v>
      </c>
      <c r="AM111" s="204">
        <f t="shared" si="33"/>
        <v>0</v>
      </c>
      <c r="AN111" s="204">
        <f t="shared" si="34"/>
        <v>0</v>
      </c>
      <c r="AO111" s="204">
        <f t="shared" si="35"/>
        <v>0</v>
      </c>
      <c r="AP111" s="216">
        <v>0.25</v>
      </c>
      <c r="AQ111" s="214" t="s">
        <v>656</v>
      </c>
      <c r="AR111" s="210">
        <v>12240000</v>
      </c>
      <c r="AS111" s="196"/>
      <c r="AT111" s="196"/>
      <c r="AU111" s="204">
        <f t="shared" si="47"/>
        <v>0</v>
      </c>
      <c r="AV111" s="204">
        <f t="shared" si="48"/>
        <v>0</v>
      </c>
      <c r="AW111" s="204">
        <f t="shared" si="49"/>
        <v>0</v>
      </c>
      <c r="AX111" s="204">
        <f t="shared" si="50"/>
        <v>0</v>
      </c>
      <c r="AY111" s="216">
        <v>0.25</v>
      </c>
      <c r="AZ111" s="214" t="s">
        <v>656</v>
      </c>
      <c r="BA111" s="210">
        <v>12240000</v>
      </c>
      <c r="BB111" s="196"/>
      <c r="BC111" s="196"/>
      <c r="BD111" s="216">
        <f t="shared" si="51"/>
        <v>0</v>
      </c>
      <c r="BE111" s="216">
        <f t="shared" si="52"/>
        <v>0</v>
      </c>
      <c r="BF111" s="216">
        <f t="shared" si="53"/>
        <v>0</v>
      </c>
      <c r="BG111" s="216">
        <f t="shared" si="54"/>
        <v>0</v>
      </c>
      <c r="BH111" s="207">
        <f t="shared" si="36"/>
        <v>0</v>
      </c>
      <c r="BI111" s="207">
        <f t="shared" si="37"/>
        <v>0</v>
      </c>
      <c r="BJ111" s="207">
        <f t="shared" si="38"/>
        <v>0</v>
      </c>
      <c r="BK111" s="207">
        <f t="shared" si="39"/>
        <v>0</v>
      </c>
      <c r="BL111" s="207">
        <f t="shared" si="55"/>
        <v>0</v>
      </c>
      <c r="BM111" s="207">
        <f t="shared" si="56"/>
        <v>0</v>
      </c>
      <c r="BN111" s="207">
        <f t="shared" si="40"/>
        <v>0</v>
      </c>
      <c r="BO111" s="207">
        <f t="shared" si="41"/>
        <v>0</v>
      </c>
      <c r="BP111" s="206"/>
      <c r="BQ111" s="277">
        <v>11</v>
      </c>
      <c r="BR111" s="208">
        <f t="shared" si="42"/>
        <v>0.58333333333333337</v>
      </c>
      <c r="BS111" s="219" t="str">
        <f t="shared" si="5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195">
        <f t="shared" si="30"/>
        <v>28560000</v>
      </c>
      <c r="BU111" s="196"/>
      <c r="BV111" s="196"/>
      <c r="BW111" s="196"/>
      <c r="BX111" s="196"/>
      <c r="BY111" s="196"/>
      <c r="BZ111" s="19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99.75" x14ac:dyDescent="0.25">
      <c r="A112" s="197">
        <v>11700</v>
      </c>
      <c r="B112" s="194" t="s">
        <v>29</v>
      </c>
      <c r="C112" s="198" t="s">
        <v>328</v>
      </c>
      <c r="D112" s="194" t="s">
        <v>256</v>
      </c>
      <c r="E112" s="245" t="s">
        <v>817</v>
      </c>
      <c r="F112" s="194" t="s">
        <v>646</v>
      </c>
      <c r="G112" s="209" t="s">
        <v>123</v>
      </c>
      <c r="H112" s="216">
        <v>1</v>
      </c>
      <c r="I112" s="198" t="s">
        <v>716</v>
      </c>
      <c r="J112" s="194" t="s">
        <v>762</v>
      </c>
      <c r="K112" s="210">
        <v>2423788854</v>
      </c>
      <c r="L112" s="211">
        <v>1</v>
      </c>
      <c r="M112" s="194" t="s">
        <v>46</v>
      </c>
      <c r="N112" s="194" t="s">
        <v>59</v>
      </c>
      <c r="O112" s="194" t="s">
        <v>37</v>
      </c>
      <c r="P112" s="194" t="s">
        <v>40</v>
      </c>
      <c r="Q112" s="194" t="s">
        <v>221</v>
      </c>
      <c r="R112" s="194" t="s">
        <v>648</v>
      </c>
      <c r="S112" s="194" t="s">
        <v>99</v>
      </c>
      <c r="T112" s="244">
        <v>1</v>
      </c>
      <c r="U112" s="212" t="str">
        <f t="shared" si="43"/>
        <v xml:space="preserve">Prestar los servicios especializados en gestión documental de administración, custodia, conservación, consulta, préstamo en soporte físico y magnético </v>
      </c>
      <c r="V112" s="213">
        <f t="shared" si="43"/>
        <v>2423788854</v>
      </c>
      <c r="W112" s="222" t="s">
        <v>114</v>
      </c>
      <c r="X112" s="216">
        <v>0.25</v>
      </c>
      <c r="Y112" s="214" t="s">
        <v>649</v>
      </c>
      <c r="Z112" s="210">
        <v>513255963</v>
      </c>
      <c r="AA112" s="196"/>
      <c r="AB112" s="196"/>
      <c r="AC112" s="204">
        <f t="shared" si="44"/>
        <v>0</v>
      </c>
      <c r="AD112" s="204">
        <f t="shared" si="45"/>
        <v>0</v>
      </c>
      <c r="AE112" s="204">
        <f t="shared" si="31"/>
        <v>0</v>
      </c>
      <c r="AF112" s="204">
        <f t="shared" si="32"/>
        <v>0</v>
      </c>
      <c r="AG112" s="216">
        <v>0.25</v>
      </c>
      <c r="AH112" s="214" t="s">
        <v>649</v>
      </c>
      <c r="AI112" s="210">
        <v>884020965</v>
      </c>
      <c r="AJ112" s="196"/>
      <c r="AK112" s="196"/>
      <c r="AL112" s="204">
        <f t="shared" si="46"/>
        <v>0</v>
      </c>
      <c r="AM112" s="204">
        <f t="shared" si="33"/>
        <v>0</v>
      </c>
      <c r="AN112" s="204">
        <f t="shared" si="34"/>
        <v>0</v>
      </c>
      <c r="AO112" s="204">
        <f t="shared" si="35"/>
        <v>0</v>
      </c>
      <c r="AP112" s="216">
        <v>0.25</v>
      </c>
      <c r="AQ112" s="214" t="s">
        <v>649</v>
      </c>
      <c r="AR112" s="210">
        <v>513255963</v>
      </c>
      <c r="AS112" s="196"/>
      <c r="AT112" s="196"/>
      <c r="AU112" s="204">
        <f t="shared" si="47"/>
        <v>0</v>
      </c>
      <c r="AV112" s="204">
        <f t="shared" si="48"/>
        <v>0</v>
      </c>
      <c r="AW112" s="204">
        <f t="shared" si="49"/>
        <v>0</v>
      </c>
      <c r="AX112" s="204">
        <f t="shared" si="50"/>
        <v>0</v>
      </c>
      <c r="AY112" s="216">
        <v>0.25</v>
      </c>
      <c r="AZ112" s="214" t="s">
        <v>649</v>
      </c>
      <c r="BA112" s="210">
        <v>513255963</v>
      </c>
      <c r="BB112" s="196"/>
      <c r="BC112" s="196"/>
      <c r="BD112" s="216">
        <f t="shared" si="51"/>
        <v>0</v>
      </c>
      <c r="BE112" s="216">
        <f t="shared" si="52"/>
        <v>0</v>
      </c>
      <c r="BF112" s="216">
        <f t="shared" si="53"/>
        <v>0</v>
      </c>
      <c r="BG112" s="216">
        <f t="shared" si="54"/>
        <v>0</v>
      </c>
      <c r="BH112" s="223">
        <f t="shared" si="36"/>
        <v>0</v>
      </c>
      <c r="BI112" s="223">
        <f t="shared" si="37"/>
        <v>0</v>
      </c>
      <c r="BJ112" s="223">
        <f t="shared" si="38"/>
        <v>0</v>
      </c>
      <c r="BK112" s="223">
        <f t="shared" si="39"/>
        <v>0</v>
      </c>
      <c r="BL112" s="223">
        <f t="shared" si="55"/>
        <v>0</v>
      </c>
      <c r="BM112" s="223">
        <f t="shared" si="56"/>
        <v>0</v>
      </c>
      <c r="BN112" s="223">
        <f t="shared" si="40"/>
        <v>0</v>
      </c>
      <c r="BO112" s="223">
        <f t="shared" si="41"/>
        <v>0</v>
      </c>
      <c r="BP112" s="206"/>
      <c r="BQ112" s="277">
        <v>12</v>
      </c>
      <c r="BR112" s="208">
        <f t="shared" si="42"/>
        <v>0.58333333333333337</v>
      </c>
      <c r="BS112" s="219" t="str">
        <f t="shared" si="57"/>
        <v xml:space="preserve">Prestar los servicios especializados en gestión documental de administración, custodia, conservación, consulta, préstamo en soporte físico y magnético </v>
      </c>
      <c r="BT112" s="195">
        <f t="shared" si="30"/>
        <v>1568362249</v>
      </c>
      <c r="BU112" s="196"/>
      <c r="BV112" s="196"/>
      <c r="BW112" s="196"/>
      <c r="BX112" s="196"/>
      <c r="BY112" s="196"/>
      <c r="BZ112" s="19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7" x14ac:dyDescent="0.25">
      <c r="A113" s="197">
        <v>11800</v>
      </c>
      <c r="B113" s="194" t="s">
        <v>5</v>
      </c>
      <c r="C113" s="198" t="s">
        <v>319</v>
      </c>
      <c r="D113" s="194" t="s">
        <v>153</v>
      </c>
      <c r="E113" s="198" t="s">
        <v>320</v>
      </c>
      <c r="F113" s="194" t="s">
        <v>133</v>
      </c>
      <c r="G113" s="209" t="s">
        <v>124</v>
      </c>
      <c r="H113" s="198">
        <v>4</v>
      </c>
      <c r="I113" s="198" t="s">
        <v>321</v>
      </c>
      <c r="J113" s="194" t="s">
        <v>24</v>
      </c>
      <c r="K113" s="210">
        <v>0</v>
      </c>
      <c r="L113" s="211">
        <v>1</v>
      </c>
      <c r="M113" s="194" t="s">
        <v>51</v>
      </c>
      <c r="N113" s="194" t="s">
        <v>68</v>
      </c>
      <c r="O113" s="194" t="s">
        <v>21</v>
      </c>
      <c r="P113" s="194" t="s">
        <v>36</v>
      </c>
      <c r="Q113" s="194" t="s">
        <v>75</v>
      </c>
      <c r="R113" s="194" t="s">
        <v>631</v>
      </c>
      <c r="S113" s="194" t="s">
        <v>98</v>
      </c>
      <c r="T113" s="221">
        <v>4</v>
      </c>
      <c r="U113" s="212" t="str">
        <f t="shared" si="43"/>
        <v>Reportar el cumplimiento del Plan de Acción de la Dependencia</v>
      </c>
      <c r="V113" s="213">
        <f t="shared" si="43"/>
        <v>0</v>
      </c>
      <c r="W113" s="214" t="s">
        <v>117</v>
      </c>
      <c r="X113" s="215">
        <v>1</v>
      </c>
      <c r="Y113" s="214" t="s">
        <v>24</v>
      </c>
      <c r="Z113" s="210">
        <v>0</v>
      </c>
      <c r="AA113" s="196"/>
      <c r="AB113" s="196"/>
      <c r="AC113" s="204">
        <f t="shared" si="44"/>
        <v>0</v>
      </c>
      <c r="AD113" s="204" t="e">
        <f t="shared" si="45"/>
        <v>#DIV/0!</v>
      </c>
      <c r="AE113" s="204">
        <f t="shared" si="31"/>
        <v>0</v>
      </c>
      <c r="AF113" s="204" t="e">
        <f t="shared" si="32"/>
        <v>#DIV/0!</v>
      </c>
      <c r="AG113" s="215">
        <v>1</v>
      </c>
      <c r="AH113" s="214" t="s">
        <v>24</v>
      </c>
      <c r="AI113" s="210">
        <v>0</v>
      </c>
      <c r="AJ113" s="196"/>
      <c r="AK113" s="196"/>
      <c r="AL113" s="204">
        <f t="shared" si="46"/>
        <v>0</v>
      </c>
      <c r="AM113" s="204" t="e">
        <f t="shared" si="33"/>
        <v>#DIV/0!</v>
      </c>
      <c r="AN113" s="204">
        <f t="shared" si="34"/>
        <v>0</v>
      </c>
      <c r="AO113" s="204" t="e">
        <f t="shared" si="35"/>
        <v>#DIV/0!</v>
      </c>
      <c r="AP113" s="215">
        <v>1</v>
      </c>
      <c r="AQ113" s="214" t="s">
        <v>24</v>
      </c>
      <c r="AR113" s="210">
        <v>0</v>
      </c>
      <c r="AS113" s="196"/>
      <c r="AT113" s="196"/>
      <c r="AU113" s="204">
        <f t="shared" si="47"/>
        <v>0</v>
      </c>
      <c r="AV113" s="204" t="e">
        <f t="shared" si="48"/>
        <v>#DIV/0!</v>
      </c>
      <c r="AW113" s="204">
        <f t="shared" si="49"/>
        <v>0</v>
      </c>
      <c r="AX113" s="204" t="e">
        <f t="shared" si="50"/>
        <v>#DIV/0!</v>
      </c>
      <c r="AY113" s="215">
        <v>1</v>
      </c>
      <c r="AZ113" s="214" t="s">
        <v>24</v>
      </c>
      <c r="BA113" s="210">
        <v>0</v>
      </c>
      <c r="BB113" s="196"/>
      <c r="BC113" s="196"/>
      <c r="BD113" s="216">
        <f t="shared" si="51"/>
        <v>0</v>
      </c>
      <c r="BE113" s="216" t="e">
        <f t="shared" si="52"/>
        <v>#DIV/0!</v>
      </c>
      <c r="BF113" s="216">
        <f t="shared" si="53"/>
        <v>0</v>
      </c>
      <c r="BG113" s="216" t="e">
        <f t="shared" si="54"/>
        <v>#DIV/0!</v>
      </c>
      <c r="BH113" s="217">
        <f t="shared" si="36"/>
        <v>0</v>
      </c>
      <c r="BI113" s="217" t="str">
        <f t="shared" si="37"/>
        <v>No Prog ni Ejec</v>
      </c>
      <c r="BJ113" s="217">
        <f t="shared" si="38"/>
        <v>0</v>
      </c>
      <c r="BK113" s="217" t="str">
        <f t="shared" si="39"/>
        <v>No Prog ni Ejec</v>
      </c>
      <c r="BL113" s="217">
        <f t="shared" si="55"/>
        <v>0</v>
      </c>
      <c r="BM113" s="217" t="str">
        <f t="shared" si="56"/>
        <v>No Prog ni Ejec</v>
      </c>
      <c r="BN113" s="217">
        <f t="shared" si="40"/>
        <v>0</v>
      </c>
      <c r="BO113" s="217" t="str">
        <f t="shared" si="41"/>
        <v>No Prog ni Ejec</v>
      </c>
      <c r="BP113" s="206"/>
      <c r="BQ113" s="277">
        <v>5</v>
      </c>
      <c r="BR113" s="218">
        <f t="shared" si="42"/>
        <v>2.3333333333333335</v>
      </c>
      <c r="BS113" s="219" t="str">
        <f t="shared" si="57"/>
        <v>Reportar el cumplimiento del Plan de Acción de la Dependencia</v>
      </c>
      <c r="BT113" s="195">
        <f t="shared" si="30"/>
        <v>0</v>
      </c>
      <c r="BU113" s="196"/>
      <c r="BV113" s="196"/>
      <c r="BW113" s="196"/>
      <c r="BX113" s="196"/>
      <c r="BY113" s="196"/>
      <c r="BZ113" s="19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99.75" x14ac:dyDescent="0.25">
      <c r="A114" s="197">
        <v>11800</v>
      </c>
      <c r="B114" s="194" t="s">
        <v>5</v>
      </c>
      <c r="C114" s="198" t="s">
        <v>322</v>
      </c>
      <c r="D114" s="194" t="s">
        <v>256</v>
      </c>
      <c r="E114" s="198" t="s">
        <v>323</v>
      </c>
      <c r="F114" s="194" t="s">
        <v>159</v>
      </c>
      <c r="G114" s="209" t="s">
        <v>123</v>
      </c>
      <c r="H114" s="216">
        <v>1</v>
      </c>
      <c r="I114" s="198" t="s">
        <v>326</v>
      </c>
      <c r="J114" s="194" t="s">
        <v>677</v>
      </c>
      <c r="K114" s="210">
        <v>0</v>
      </c>
      <c r="L114" s="211">
        <v>1</v>
      </c>
      <c r="M114" s="194" t="s">
        <v>51</v>
      </c>
      <c r="N114" s="194" t="s">
        <v>68</v>
      </c>
      <c r="O114" s="194" t="s">
        <v>21</v>
      </c>
      <c r="P114" s="194" t="s">
        <v>36</v>
      </c>
      <c r="Q114" s="194" t="s">
        <v>75</v>
      </c>
      <c r="R114" s="194" t="s">
        <v>672</v>
      </c>
      <c r="S114" s="194" t="s">
        <v>98</v>
      </c>
      <c r="T114" s="211">
        <v>1</v>
      </c>
      <c r="U114" s="212" t="str">
        <f t="shared" si="43"/>
        <v xml:space="preserve">Formular los proceso y procedimientos en el marco del MIPG
</v>
      </c>
      <c r="V114" s="213">
        <f t="shared" si="43"/>
        <v>0</v>
      </c>
      <c r="W114" s="214" t="s">
        <v>117</v>
      </c>
      <c r="X114" s="216">
        <v>0.25</v>
      </c>
      <c r="Y114" s="214" t="s">
        <v>677</v>
      </c>
      <c r="Z114" s="210">
        <v>0</v>
      </c>
      <c r="AA114" s="196"/>
      <c r="AB114" s="196"/>
      <c r="AC114" s="204">
        <f t="shared" si="44"/>
        <v>0</v>
      </c>
      <c r="AD114" s="204" t="e">
        <f t="shared" si="45"/>
        <v>#DIV/0!</v>
      </c>
      <c r="AE114" s="204">
        <f t="shared" si="31"/>
        <v>0</v>
      </c>
      <c r="AF114" s="204" t="e">
        <f t="shared" si="32"/>
        <v>#DIV/0!</v>
      </c>
      <c r="AG114" s="216">
        <v>0.25</v>
      </c>
      <c r="AH114" s="214" t="s">
        <v>677</v>
      </c>
      <c r="AI114" s="210">
        <v>0</v>
      </c>
      <c r="AJ114" s="196"/>
      <c r="AK114" s="196"/>
      <c r="AL114" s="204">
        <f t="shared" si="46"/>
        <v>0</v>
      </c>
      <c r="AM114" s="204" t="e">
        <f t="shared" si="33"/>
        <v>#DIV/0!</v>
      </c>
      <c r="AN114" s="204">
        <f t="shared" si="34"/>
        <v>0</v>
      </c>
      <c r="AO114" s="204" t="e">
        <f t="shared" si="35"/>
        <v>#DIV/0!</v>
      </c>
      <c r="AP114" s="216">
        <v>0.25</v>
      </c>
      <c r="AQ114" s="214" t="s">
        <v>677</v>
      </c>
      <c r="AR114" s="210">
        <v>0</v>
      </c>
      <c r="AS114" s="196"/>
      <c r="AT114" s="196"/>
      <c r="AU114" s="204">
        <f t="shared" si="47"/>
        <v>0</v>
      </c>
      <c r="AV114" s="204" t="e">
        <f t="shared" si="48"/>
        <v>#DIV/0!</v>
      </c>
      <c r="AW114" s="204">
        <f t="shared" si="49"/>
        <v>0</v>
      </c>
      <c r="AX114" s="204" t="e">
        <f t="shared" si="50"/>
        <v>#DIV/0!</v>
      </c>
      <c r="AY114" s="216">
        <v>0.25</v>
      </c>
      <c r="AZ114" s="214" t="s">
        <v>677</v>
      </c>
      <c r="BA114" s="210">
        <v>0</v>
      </c>
      <c r="BB114" s="196"/>
      <c r="BC114" s="196"/>
      <c r="BD114" s="216">
        <f t="shared" si="51"/>
        <v>0</v>
      </c>
      <c r="BE114" s="216" t="e">
        <f t="shared" si="52"/>
        <v>#DIV/0!</v>
      </c>
      <c r="BF114" s="216">
        <f t="shared" si="53"/>
        <v>0</v>
      </c>
      <c r="BG114" s="216" t="e">
        <f t="shared" si="54"/>
        <v>#DIV/0!</v>
      </c>
      <c r="BH114" s="217">
        <f t="shared" si="36"/>
        <v>0</v>
      </c>
      <c r="BI114" s="217" t="str">
        <f t="shared" si="37"/>
        <v>No Prog ni Ejec</v>
      </c>
      <c r="BJ114" s="217">
        <f t="shared" si="38"/>
        <v>0</v>
      </c>
      <c r="BK114" s="217" t="str">
        <f t="shared" si="39"/>
        <v>No Prog ni Ejec</v>
      </c>
      <c r="BL114" s="217">
        <f t="shared" si="55"/>
        <v>0</v>
      </c>
      <c r="BM114" s="217" t="str">
        <f t="shared" si="56"/>
        <v>No Prog ni Ejec</v>
      </c>
      <c r="BN114" s="217">
        <f t="shared" si="40"/>
        <v>0</v>
      </c>
      <c r="BO114" s="217" t="str">
        <f t="shared" si="41"/>
        <v>No Prog ni Ejec</v>
      </c>
      <c r="BP114" s="206"/>
      <c r="BQ114" s="277">
        <v>5</v>
      </c>
      <c r="BR114" s="208">
        <f t="shared" si="42"/>
        <v>0.58333333333333337</v>
      </c>
      <c r="BS114" s="219" t="str">
        <f t="shared" si="57"/>
        <v xml:space="preserve">Formular los proceso y procedimientos en el marco del MIPG
</v>
      </c>
      <c r="BT114" s="195">
        <f t="shared" si="30"/>
        <v>0</v>
      </c>
      <c r="BU114" s="196"/>
      <c r="BV114" s="196"/>
      <c r="BW114" s="196"/>
      <c r="BX114" s="196"/>
      <c r="BY114" s="196"/>
      <c r="BZ114" s="19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99.75" x14ac:dyDescent="0.25">
      <c r="A115" s="197">
        <v>11800</v>
      </c>
      <c r="B115" s="194" t="s">
        <v>5</v>
      </c>
      <c r="C115" s="198" t="s">
        <v>322</v>
      </c>
      <c r="D115" s="194" t="s">
        <v>256</v>
      </c>
      <c r="E115" s="198" t="s">
        <v>325</v>
      </c>
      <c r="F115" s="194" t="s">
        <v>127</v>
      </c>
      <c r="G115" s="209" t="s">
        <v>123</v>
      </c>
      <c r="H115" s="211">
        <v>1</v>
      </c>
      <c r="I115" s="198" t="s">
        <v>327</v>
      </c>
      <c r="J115" s="194" t="s">
        <v>128</v>
      </c>
      <c r="K115" s="210">
        <v>0</v>
      </c>
      <c r="L115" s="211">
        <v>1</v>
      </c>
      <c r="M115" s="194" t="s">
        <v>51</v>
      </c>
      <c r="N115" s="194" t="s">
        <v>68</v>
      </c>
      <c r="O115" s="194" t="s">
        <v>21</v>
      </c>
      <c r="P115" s="194" t="s">
        <v>36</v>
      </c>
      <c r="Q115" s="194" t="s">
        <v>75</v>
      </c>
      <c r="R115" s="194" t="s">
        <v>570</v>
      </c>
      <c r="S115" s="194" t="s">
        <v>98</v>
      </c>
      <c r="T115" s="211">
        <v>1</v>
      </c>
      <c r="U115" s="212" t="str">
        <f t="shared" si="43"/>
        <v>Remitir informes trimestrales de los indicadores formulados y las acciones de mejoras</v>
      </c>
      <c r="V115" s="213">
        <f t="shared" si="43"/>
        <v>0</v>
      </c>
      <c r="W115" s="214" t="s">
        <v>117</v>
      </c>
      <c r="X115" s="216">
        <v>0</v>
      </c>
      <c r="Y115" s="214" t="s">
        <v>128</v>
      </c>
      <c r="Z115" s="210">
        <v>0</v>
      </c>
      <c r="AA115" s="196"/>
      <c r="AB115" s="196"/>
      <c r="AC115" s="204" t="e">
        <f t="shared" si="44"/>
        <v>#DIV/0!</v>
      </c>
      <c r="AD115" s="204" t="e">
        <f t="shared" si="45"/>
        <v>#DIV/0!</v>
      </c>
      <c r="AE115" s="204">
        <f t="shared" si="31"/>
        <v>0</v>
      </c>
      <c r="AF115" s="204" t="e">
        <f t="shared" si="32"/>
        <v>#DIV/0!</v>
      </c>
      <c r="AG115" s="216">
        <v>0</v>
      </c>
      <c r="AH115" s="214" t="s">
        <v>128</v>
      </c>
      <c r="AI115" s="210">
        <v>0</v>
      </c>
      <c r="AJ115" s="196"/>
      <c r="AK115" s="196"/>
      <c r="AL115" s="204" t="e">
        <f t="shared" si="46"/>
        <v>#DIV/0!</v>
      </c>
      <c r="AM115" s="204" t="e">
        <f t="shared" si="33"/>
        <v>#DIV/0!</v>
      </c>
      <c r="AN115" s="204">
        <f t="shared" si="34"/>
        <v>0</v>
      </c>
      <c r="AO115" s="204" t="e">
        <f t="shared" si="35"/>
        <v>#DIV/0!</v>
      </c>
      <c r="AP115" s="216">
        <v>0</v>
      </c>
      <c r="AQ115" s="214" t="s">
        <v>128</v>
      </c>
      <c r="AR115" s="210">
        <v>0</v>
      </c>
      <c r="AS115" s="196"/>
      <c r="AT115" s="196"/>
      <c r="AU115" s="204" t="e">
        <f t="shared" si="47"/>
        <v>#DIV/0!</v>
      </c>
      <c r="AV115" s="204" t="e">
        <f t="shared" si="48"/>
        <v>#DIV/0!</v>
      </c>
      <c r="AW115" s="204">
        <f t="shared" si="49"/>
        <v>0</v>
      </c>
      <c r="AX115" s="204" t="e">
        <f t="shared" si="50"/>
        <v>#DIV/0!</v>
      </c>
      <c r="AY115" s="216">
        <v>1</v>
      </c>
      <c r="AZ115" s="214" t="s">
        <v>128</v>
      </c>
      <c r="BA115" s="210">
        <v>0</v>
      </c>
      <c r="BB115" s="196"/>
      <c r="BC115" s="196"/>
      <c r="BD115" s="216">
        <f t="shared" si="51"/>
        <v>0</v>
      </c>
      <c r="BE115" s="216" t="e">
        <f t="shared" si="52"/>
        <v>#DIV/0!</v>
      </c>
      <c r="BF115" s="216">
        <f t="shared" si="53"/>
        <v>0</v>
      </c>
      <c r="BG115" s="216" t="e">
        <f t="shared" si="54"/>
        <v>#DIV/0!</v>
      </c>
      <c r="BH115" s="217" t="str">
        <f t="shared" si="36"/>
        <v>No Prog ni Ejec</v>
      </c>
      <c r="BI115" s="217" t="str">
        <f t="shared" si="37"/>
        <v>No Prog ni Ejec</v>
      </c>
      <c r="BJ115" s="217" t="str">
        <f t="shared" si="38"/>
        <v>No Prog ni Ejec</v>
      </c>
      <c r="BK115" s="217" t="str">
        <f t="shared" si="39"/>
        <v>No Prog ni Ejec</v>
      </c>
      <c r="BL115" s="217" t="str">
        <f t="shared" si="55"/>
        <v>No Prog ni Ejec</v>
      </c>
      <c r="BM115" s="217" t="str">
        <f t="shared" si="56"/>
        <v>No Prog ni Ejec</v>
      </c>
      <c r="BN115" s="217">
        <f t="shared" si="40"/>
        <v>0</v>
      </c>
      <c r="BO115" s="217" t="str">
        <f t="shared" si="41"/>
        <v>No Prog ni Ejec</v>
      </c>
      <c r="BP115" s="206"/>
      <c r="BQ115" s="277">
        <v>5</v>
      </c>
      <c r="BR115" s="208">
        <f t="shared" si="42"/>
        <v>0</v>
      </c>
      <c r="BS115" s="219" t="str">
        <f t="shared" si="57"/>
        <v>Remitir informes trimestrales de los indicadores formulados y las acciones de mejoras</v>
      </c>
      <c r="BT115" s="195">
        <f t="shared" si="30"/>
        <v>0</v>
      </c>
      <c r="BU115" s="196"/>
      <c r="BV115" s="196"/>
      <c r="BW115" s="196"/>
      <c r="BX115" s="196"/>
      <c r="BY115" s="196"/>
      <c r="BZ115" s="19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99.75" x14ac:dyDescent="0.25">
      <c r="A116" s="197">
        <v>11800</v>
      </c>
      <c r="B116" s="194" t="s">
        <v>5</v>
      </c>
      <c r="C116" s="198" t="s">
        <v>333</v>
      </c>
      <c r="D116" s="194" t="s">
        <v>256</v>
      </c>
      <c r="E116" s="198" t="s">
        <v>324</v>
      </c>
      <c r="F116" s="201" t="s">
        <v>678</v>
      </c>
      <c r="G116" s="209" t="s">
        <v>123</v>
      </c>
      <c r="H116" s="246">
        <v>1</v>
      </c>
      <c r="I116" s="198" t="s">
        <v>339</v>
      </c>
      <c r="J116" s="194" t="s">
        <v>334</v>
      </c>
      <c r="K116" s="210">
        <v>0</v>
      </c>
      <c r="L116" s="211">
        <v>1</v>
      </c>
      <c r="M116" s="194" t="s">
        <v>50</v>
      </c>
      <c r="N116" s="194" t="s">
        <v>64</v>
      </c>
      <c r="O116" s="194" t="s">
        <v>37</v>
      </c>
      <c r="P116" s="194" t="s">
        <v>39</v>
      </c>
      <c r="Q116" s="194" t="s">
        <v>230</v>
      </c>
      <c r="R116" s="201" t="s">
        <v>342</v>
      </c>
      <c r="S116" s="194" t="s">
        <v>105</v>
      </c>
      <c r="T116" s="211">
        <v>1</v>
      </c>
      <c r="U116" s="212" t="str">
        <f t="shared" si="43"/>
        <v>Realizar las auditorías internas, de acuerdo a lo programado para la vigencia.</v>
      </c>
      <c r="V116" s="213">
        <f t="shared" si="43"/>
        <v>0</v>
      </c>
      <c r="W116" s="214" t="s">
        <v>117</v>
      </c>
      <c r="X116" s="216">
        <v>0.25</v>
      </c>
      <c r="Y116" s="214" t="s">
        <v>334</v>
      </c>
      <c r="Z116" s="210">
        <v>0</v>
      </c>
      <c r="AA116" s="196"/>
      <c r="AB116" s="196"/>
      <c r="AC116" s="204">
        <f t="shared" si="44"/>
        <v>0</v>
      </c>
      <c r="AD116" s="204" t="e">
        <f t="shared" si="45"/>
        <v>#DIV/0!</v>
      </c>
      <c r="AE116" s="204">
        <f t="shared" si="31"/>
        <v>0</v>
      </c>
      <c r="AF116" s="204" t="e">
        <f t="shared" si="32"/>
        <v>#DIV/0!</v>
      </c>
      <c r="AG116" s="216">
        <v>0.25</v>
      </c>
      <c r="AH116" s="214" t="s">
        <v>334</v>
      </c>
      <c r="AI116" s="210">
        <v>0</v>
      </c>
      <c r="AJ116" s="196"/>
      <c r="AK116" s="196"/>
      <c r="AL116" s="204">
        <f t="shared" si="46"/>
        <v>0</v>
      </c>
      <c r="AM116" s="204" t="e">
        <f t="shared" si="33"/>
        <v>#DIV/0!</v>
      </c>
      <c r="AN116" s="204">
        <f t="shared" si="34"/>
        <v>0</v>
      </c>
      <c r="AO116" s="204" t="e">
        <f t="shared" si="35"/>
        <v>#DIV/0!</v>
      </c>
      <c r="AP116" s="216">
        <v>0.25</v>
      </c>
      <c r="AQ116" s="214" t="s">
        <v>334</v>
      </c>
      <c r="AR116" s="210">
        <v>0</v>
      </c>
      <c r="AS116" s="196"/>
      <c r="AT116" s="196"/>
      <c r="AU116" s="204">
        <f t="shared" si="47"/>
        <v>0</v>
      </c>
      <c r="AV116" s="204" t="e">
        <f t="shared" si="48"/>
        <v>#DIV/0!</v>
      </c>
      <c r="AW116" s="204">
        <f t="shared" si="49"/>
        <v>0</v>
      </c>
      <c r="AX116" s="204" t="e">
        <f t="shared" si="50"/>
        <v>#DIV/0!</v>
      </c>
      <c r="AY116" s="216">
        <v>0.25</v>
      </c>
      <c r="AZ116" s="214" t="s">
        <v>334</v>
      </c>
      <c r="BA116" s="210">
        <v>0</v>
      </c>
      <c r="BB116" s="196"/>
      <c r="BC116" s="196"/>
      <c r="BD116" s="216">
        <f t="shared" si="51"/>
        <v>0</v>
      </c>
      <c r="BE116" s="216" t="e">
        <f t="shared" si="52"/>
        <v>#DIV/0!</v>
      </c>
      <c r="BF116" s="216">
        <f t="shared" si="53"/>
        <v>0</v>
      </c>
      <c r="BG116" s="216" t="e">
        <f t="shared" si="54"/>
        <v>#DIV/0!</v>
      </c>
      <c r="BH116" s="217">
        <f t="shared" si="36"/>
        <v>0</v>
      </c>
      <c r="BI116" s="217" t="str">
        <f t="shared" si="37"/>
        <v>No Prog ni Ejec</v>
      </c>
      <c r="BJ116" s="217">
        <f t="shared" si="38"/>
        <v>0</v>
      </c>
      <c r="BK116" s="217" t="str">
        <f t="shared" si="39"/>
        <v>No Prog ni Ejec</v>
      </c>
      <c r="BL116" s="217">
        <f t="shared" si="55"/>
        <v>0</v>
      </c>
      <c r="BM116" s="217" t="str">
        <f t="shared" si="56"/>
        <v>No Prog ni Ejec</v>
      </c>
      <c r="BN116" s="217">
        <f t="shared" si="40"/>
        <v>0</v>
      </c>
      <c r="BO116" s="217" t="str">
        <f t="shared" si="41"/>
        <v>No Prog ni Ejec</v>
      </c>
      <c r="BP116" s="206"/>
      <c r="BQ116" s="277">
        <v>7</v>
      </c>
      <c r="BR116" s="208">
        <f t="shared" si="42"/>
        <v>0.58333333333333337</v>
      </c>
      <c r="BS116" s="219" t="str">
        <f t="shared" si="57"/>
        <v>Realizar las auditorías internas, de acuerdo a lo programado para la vigencia.</v>
      </c>
      <c r="BT116" s="195">
        <f t="shared" si="30"/>
        <v>0</v>
      </c>
      <c r="BU116" s="196"/>
      <c r="BV116" s="196"/>
      <c r="BW116" s="196"/>
      <c r="BX116" s="196"/>
      <c r="BY116" s="196"/>
      <c r="BZ116" s="19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99.75" x14ac:dyDescent="0.25">
      <c r="A117" s="197">
        <v>11800</v>
      </c>
      <c r="B117" s="194" t="s">
        <v>5</v>
      </c>
      <c r="C117" s="198" t="s">
        <v>345</v>
      </c>
      <c r="D117" s="194" t="s">
        <v>256</v>
      </c>
      <c r="E117" s="198" t="s">
        <v>552</v>
      </c>
      <c r="F117" s="194" t="s">
        <v>679</v>
      </c>
      <c r="G117" s="209" t="s">
        <v>123</v>
      </c>
      <c r="H117" s="246">
        <v>1</v>
      </c>
      <c r="I117" s="198" t="s">
        <v>553</v>
      </c>
      <c r="J117" s="194" t="s">
        <v>335</v>
      </c>
      <c r="K117" s="210">
        <v>0</v>
      </c>
      <c r="L117" s="211">
        <v>1</v>
      </c>
      <c r="M117" s="194" t="s">
        <v>50</v>
      </c>
      <c r="N117" s="194" t="s">
        <v>64</v>
      </c>
      <c r="O117" s="194" t="s">
        <v>37</v>
      </c>
      <c r="P117" s="194" t="s">
        <v>39</v>
      </c>
      <c r="Q117" s="194" t="s">
        <v>230</v>
      </c>
      <c r="R117" s="194" t="s">
        <v>343</v>
      </c>
      <c r="S117" s="194" t="s">
        <v>105</v>
      </c>
      <c r="T117" s="211">
        <v>1</v>
      </c>
      <c r="U117" s="212" t="str">
        <f t="shared" si="43"/>
        <v>Dar respuesta a requerimientos de carácter interno en el marco de la normatividad vigente</v>
      </c>
      <c r="V117" s="213">
        <f t="shared" si="43"/>
        <v>0</v>
      </c>
      <c r="W117" s="214" t="s">
        <v>117</v>
      </c>
      <c r="X117" s="216">
        <v>0.25</v>
      </c>
      <c r="Y117" s="214" t="s">
        <v>335</v>
      </c>
      <c r="Z117" s="210">
        <v>0</v>
      </c>
      <c r="AA117" s="196"/>
      <c r="AB117" s="196"/>
      <c r="AC117" s="204">
        <f t="shared" si="44"/>
        <v>0</v>
      </c>
      <c r="AD117" s="204" t="e">
        <f t="shared" si="45"/>
        <v>#DIV/0!</v>
      </c>
      <c r="AE117" s="204">
        <f t="shared" si="31"/>
        <v>0</v>
      </c>
      <c r="AF117" s="204" t="e">
        <f t="shared" si="32"/>
        <v>#DIV/0!</v>
      </c>
      <c r="AG117" s="216">
        <v>0.25</v>
      </c>
      <c r="AH117" s="214" t="s">
        <v>335</v>
      </c>
      <c r="AI117" s="210">
        <v>0</v>
      </c>
      <c r="AJ117" s="196"/>
      <c r="AK117" s="196"/>
      <c r="AL117" s="204">
        <f t="shared" si="46"/>
        <v>0</v>
      </c>
      <c r="AM117" s="204" t="e">
        <f t="shared" si="33"/>
        <v>#DIV/0!</v>
      </c>
      <c r="AN117" s="204">
        <f t="shared" si="34"/>
        <v>0</v>
      </c>
      <c r="AO117" s="204" t="e">
        <f t="shared" si="35"/>
        <v>#DIV/0!</v>
      </c>
      <c r="AP117" s="216">
        <v>0.25</v>
      </c>
      <c r="AQ117" s="214" t="s">
        <v>335</v>
      </c>
      <c r="AR117" s="210">
        <v>0</v>
      </c>
      <c r="AS117" s="196"/>
      <c r="AT117" s="196"/>
      <c r="AU117" s="204">
        <f t="shared" si="47"/>
        <v>0</v>
      </c>
      <c r="AV117" s="204" t="e">
        <f t="shared" si="48"/>
        <v>#DIV/0!</v>
      </c>
      <c r="AW117" s="204">
        <f t="shared" si="49"/>
        <v>0</v>
      </c>
      <c r="AX117" s="204" t="e">
        <f t="shared" si="50"/>
        <v>#DIV/0!</v>
      </c>
      <c r="AY117" s="216">
        <v>0.25</v>
      </c>
      <c r="AZ117" s="214" t="s">
        <v>335</v>
      </c>
      <c r="BA117" s="210">
        <v>0</v>
      </c>
      <c r="BB117" s="196"/>
      <c r="BC117" s="196"/>
      <c r="BD117" s="216">
        <f t="shared" si="51"/>
        <v>0</v>
      </c>
      <c r="BE117" s="216" t="e">
        <f t="shared" si="52"/>
        <v>#DIV/0!</v>
      </c>
      <c r="BF117" s="216">
        <f t="shared" si="53"/>
        <v>0</v>
      </c>
      <c r="BG117" s="216" t="e">
        <f t="shared" si="54"/>
        <v>#DIV/0!</v>
      </c>
      <c r="BH117" s="217">
        <f t="shared" si="36"/>
        <v>0</v>
      </c>
      <c r="BI117" s="217" t="str">
        <f t="shared" si="37"/>
        <v>No Prog ni Ejec</v>
      </c>
      <c r="BJ117" s="217">
        <f t="shared" si="38"/>
        <v>0</v>
      </c>
      <c r="BK117" s="217" t="str">
        <f t="shared" si="39"/>
        <v>No Prog ni Ejec</v>
      </c>
      <c r="BL117" s="217">
        <f t="shared" si="55"/>
        <v>0</v>
      </c>
      <c r="BM117" s="217" t="str">
        <f t="shared" si="56"/>
        <v>No Prog ni Ejec</v>
      </c>
      <c r="BN117" s="217">
        <f t="shared" si="40"/>
        <v>0</v>
      </c>
      <c r="BO117" s="217" t="str">
        <f t="shared" si="41"/>
        <v>No Prog ni Ejec</v>
      </c>
      <c r="BP117" s="206"/>
      <c r="BQ117" s="277">
        <v>7</v>
      </c>
      <c r="BR117" s="208">
        <f t="shared" si="42"/>
        <v>0.58333333333333337</v>
      </c>
      <c r="BS117" s="219" t="str">
        <f t="shared" si="57"/>
        <v>Dar respuesta a requerimientos de carácter interno en el marco de la normatividad vigente</v>
      </c>
      <c r="BT117" s="195">
        <f t="shared" si="30"/>
        <v>0</v>
      </c>
      <c r="BU117" s="196"/>
      <c r="BV117" s="196"/>
      <c r="BW117" s="196"/>
      <c r="BX117" s="196"/>
      <c r="BY117" s="196"/>
      <c r="BZ117" s="19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99.75" x14ac:dyDescent="0.25">
      <c r="A118" s="197">
        <v>11800</v>
      </c>
      <c r="B118" s="194" t="s">
        <v>5</v>
      </c>
      <c r="C118" s="198" t="s">
        <v>346</v>
      </c>
      <c r="D118" s="194" t="s">
        <v>256</v>
      </c>
      <c r="E118" s="198" t="s">
        <v>554</v>
      </c>
      <c r="F118" s="194" t="s">
        <v>680</v>
      </c>
      <c r="G118" s="209" t="s">
        <v>123</v>
      </c>
      <c r="H118" s="246">
        <v>1</v>
      </c>
      <c r="I118" s="198" t="s">
        <v>555</v>
      </c>
      <c r="J118" s="194" t="s">
        <v>336</v>
      </c>
      <c r="K118" s="210">
        <v>0</v>
      </c>
      <c r="L118" s="211">
        <v>1</v>
      </c>
      <c r="M118" s="194" t="s">
        <v>50</v>
      </c>
      <c r="N118" s="194" t="s">
        <v>64</v>
      </c>
      <c r="O118" s="194" t="s">
        <v>37</v>
      </c>
      <c r="P118" s="194" t="s">
        <v>39</v>
      </c>
      <c r="Q118" s="194" t="s">
        <v>230</v>
      </c>
      <c r="R118" s="194" t="s">
        <v>344</v>
      </c>
      <c r="S118" s="194" t="s">
        <v>105</v>
      </c>
      <c r="T118" s="211">
        <v>1</v>
      </c>
      <c r="U118" s="212" t="str">
        <f t="shared" si="43"/>
        <v>Dar respuesta a requerimientos de organismos externos en el marco de la normatividad vigente</v>
      </c>
      <c r="V118" s="213">
        <f t="shared" si="43"/>
        <v>0</v>
      </c>
      <c r="W118" s="214" t="s">
        <v>117</v>
      </c>
      <c r="X118" s="216">
        <v>0.25</v>
      </c>
      <c r="Y118" s="214" t="s">
        <v>336</v>
      </c>
      <c r="Z118" s="210">
        <v>0</v>
      </c>
      <c r="AA118" s="196"/>
      <c r="AB118" s="196"/>
      <c r="AC118" s="204">
        <f t="shared" si="44"/>
        <v>0</v>
      </c>
      <c r="AD118" s="204" t="e">
        <f t="shared" si="45"/>
        <v>#DIV/0!</v>
      </c>
      <c r="AE118" s="204">
        <f t="shared" si="31"/>
        <v>0</v>
      </c>
      <c r="AF118" s="204" t="e">
        <f t="shared" si="32"/>
        <v>#DIV/0!</v>
      </c>
      <c r="AG118" s="216">
        <v>0.25</v>
      </c>
      <c r="AH118" s="214" t="s">
        <v>336</v>
      </c>
      <c r="AI118" s="210">
        <v>0</v>
      </c>
      <c r="AJ118" s="196"/>
      <c r="AK118" s="196"/>
      <c r="AL118" s="204">
        <f t="shared" si="46"/>
        <v>0</v>
      </c>
      <c r="AM118" s="204" t="e">
        <f t="shared" si="33"/>
        <v>#DIV/0!</v>
      </c>
      <c r="AN118" s="204">
        <f t="shared" si="34"/>
        <v>0</v>
      </c>
      <c r="AO118" s="204" t="e">
        <f t="shared" si="35"/>
        <v>#DIV/0!</v>
      </c>
      <c r="AP118" s="216">
        <v>0.25</v>
      </c>
      <c r="AQ118" s="214" t="s">
        <v>336</v>
      </c>
      <c r="AR118" s="210">
        <v>0</v>
      </c>
      <c r="AS118" s="196"/>
      <c r="AT118" s="196"/>
      <c r="AU118" s="204">
        <f t="shared" si="47"/>
        <v>0</v>
      </c>
      <c r="AV118" s="204" t="e">
        <f t="shared" si="48"/>
        <v>#DIV/0!</v>
      </c>
      <c r="AW118" s="204">
        <f t="shared" si="49"/>
        <v>0</v>
      </c>
      <c r="AX118" s="204" t="e">
        <f t="shared" si="50"/>
        <v>#DIV/0!</v>
      </c>
      <c r="AY118" s="216">
        <v>0.25</v>
      </c>
      <c r="AZ118" s="214" t="s">
        <v>336</v>
      </c>
      <c r="BA118" s="210">
        <v>0</v>
      </c>
      <c r="BB118" s="196"/>
      <c r="BC118" s="196"/>
      <c r="BD118" s="216">
        <f t="shared" si="51"/>
        <v>0</v>
      </c>
      <c r="BE118" s="216" t="e">
        <f t="shared" si="52"/>
        <v>#DIV/0!</v>
      </c>
      <c r="BF118" s="216">
        <f t="shared" si="53"/>
        <v>0</v>
      </c>
      <c r="BG118" s="216" t="e">
        <f t="shared" si="54"/>
        <v>#DIV/0!</v>
      </c>
      <c r="BH118" s="207">
        <f t="shared" si="36"/>
        <v>0</v>
      </c>
      <c r="BI118" s="207" t="str">
        <f t="shared" si="37"/>
        <v>No Prog ni Ejec</v>
      </c>
      <c r="BJ118" s="207">
        <f t="shared" si="38"/>
        <v>0</v>
      </c>
      <c r="BK118" s="207" t="str">
        <f t="shared" si="39"/>
        <v>No Prog ni Ejec</v>
      </c>
      <c r="BL118" s="207">
        <f t="shared" si="55"/>
        <v>0</v>
      </c>
      <c r="BM118" s="207" t="str">
        <f t="shared" si="56"/>
        <v>No Prog ni Ejec</v>
      </c>
      <c r="BN118" s="207">
        <f t="shared" si="40"/>
        <v>0</v>
      </c>
      <c r="BO118" s="207" t="str">
        <f t="shared" si="41"/>
        <v>No Prog ni Ejec</v>
      </c>
      <c r="BP118" s="206"/>
      <c r="BQ118" s="277">
        <v>7</v>
      </c>
      <c r="BR118" s="208">
        <f t="shared" si="42"/>
        <v>0.58333333333333337</v>
      </c>
      <c r="BS118" s="219" t="str">
        <f t="shared" si="57"/>
        <v>Dar respuesta a requerimientos de organismos externos en el marco de la normatividad vigente</v>
      </c>
      <c r="BT118" s="195">
        <f t="shared" si="30"/>
        <v>0</v>
      </c>
      <c r="BU118" s="196"/>
      <c r="BV118" s="196"/>
      <c r="BW118" s="196"/>
      <c r="BX118" s="196"/>
      <c r="BY118" s="196"/>
      <c r="BZ118" s="19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99.75" x14ac:dyDescent="0.25">
      <c r="A119" s="197">
        <v>11800</v>
      </c>
      <c r="B119" s="194" t="s">
        <v>5</v>
      </c>
      <c r="C119" s="198" t="s">
        <v>347</v>
      </c>
      <c r="D119" s="194" t="s">
        <v>256</v>
      </c>
      <c r="E119" s="198" t="s">
        <v>556</v>
      </c>
      <c r="F119" s="194" t="s">
        <v>681</v>
      </c>
      <c r="G119" s="209" t="s">
        <v>123</v>
      </c>
      <c r="H119" s="246">
        <v>1</v>
      </c>
      <c r="I119" s="198" t="s">
        <v>558</v>
      </c>
      <c r="J119" s="194" t="s">
        <v>337</v>
      </c>
      <c r="K119" s="210">
        <v>0</v>
      </c>
      <c r="L119" s="211">
        <v>1</v>
      </c>
      <c r="M119" s="194" t="s">
        <v>50</v>
      </c>
      <c r="N119" s="194" t="s">
        <v>64</v>
      </c>
      <c r="O119" s="194" t="s">
        <v>37</v>
      </c>
      <c r="P119" s="194" t="s">
        <v>39</v>
      </c>
      <c r="Q119" s="194" t="s">
        <v>230</v>
      </c>
      <c r="R119" s="194" t="s">
        <v>340</v>
      </c>
      <c r="S119" s="194" t="s">
        <v>105</v>
      </c>
      <c r="T119" s="211">
        <v>1</v>
      </c>
      <c r="U119" s="212" t="str">
        <f t="shared" si="43"/>
        <v>Medir el grado de cumplimiento de las acciones que hacen parte del Plan de mejoramiento institucional derivadas de la Auditoría de la CGR.</v>
      </c>
      <c r="V119" s="213">
        <f t="shared" si="43"/>
        <v>0</v>
      </c>
      <c r="W119" s="214" t="s">
        <v>117</v>
      </c>
      <c r="X119" s="216">
        <v>0.25</v>
      </c>
      <c r="Y119" s="214" t="s">
        <v>337</v>
      </c>
      <c r="Z119" s="210">
        <v>0</v>
      </c>
      <c r="AA119" s="196"/>
      <c r="AB119" s="196"/>
      <c r="AC119" s="204">
        <f t="shared" si="44"/>
        <v>0</v>
      </c>
      <c r="AD119" s="204" t="e">
        <f t="shared" si="45"/>
        <v>#DIV/0!</v>
      </c>
      <c r="AE119" s="204">
        <f t="shared" si="31"/>
        <v>0</v>
      </c>
      <c r="AF119" s="204" t="e">
        <f t="shared" si="32"/>
        <v>#DIV/0!</v>
      </c>
      <c r="AG119" s="216">
        <v>0.25</v>
      </c>
      <c r="AH119" s="214" t="s">
        <v>337</v>
      </c>
      <c r="AI119" s="210">
        <v>0</v>
      </c>
      <c r="AJ119" s="196"/>
      <c r="AK119" s="196"/>
      <c r="AL119" s="204">
        <f t="shared" si="46"/>
        <v>0</v>
      </c>
      <c r="AM119" s="204" t="e">
        <f t="shared" si="33"/>
        <v>#DIV/0!</v>
      </c>
      <c r="AN119" s="204">
        <f t="shared" si="34"/>
        <v>0</v>
      </c>
      <c r="AO119" s="204" t="e">
        <f t="shared" si="35"/>
        <v>#DIV/0!</v>
      </c>
      <c r="AP119" s="216">
        <v>0.25</v>
      </c>
      <c r="AQ119" s="214" t="s">
        <v>337</v>
      </c>
      <c r="AR119" s="210">
        <v>0</v>
      </c>
      <c r="AS119" s="196"/>
      <c r="AT119" s="196"/>
      <c r="AU119" s="204">
        <f t="shared" si="47"/>
        <v>0</v>
      </c>
      <c r="AV119" s="204" t="e">
        <f t="shared" si="48"/>
        <v>#DIV/0!</v>
      </c>
      <c r="AW119" s="204">
        <f t="shared" si="49"/>
        <v>0</v>
      </c>
      <c r="AX119" s="204" t="e">
        <f t="shared" si="50"/>
        <v>#DIV/0!</v>
      </c>
      <c r="AY119" s="216">
        <v>0.25</v>
      </c>
      <c r="AZ119" s="214" t="s">
        <v>337</v>
      </c>
      <c r="BA119" s="210">
        <v>0</v>
      </c>
      <c r="BB119" s="196"/>
      <c r="BC119" s="196"/>
      <c r="BD119" s="216">
        <f t="shared" si="51"/>
        <v>0</v>
      </c>
      <c r="BE119" s="216" t="e">
        <f t="shared" si="52"/>
        <v>#DIV/0!</v>
      </c>
      <c r="BF119" s="216">
        <f t="shared" si="53"/>
        <v>0</v>
      </c>
      <c r="BG119" s="216" t="e">
        <f t="shared" si="54"/>
        <v>#DIV/0!</v>
      </c>
      <c r="BH119" s="217">
        <f t="shared" si="36"/>
        <v>0</v>
      </c>
      <c r="BI119" s="217" t="str">
        <f t="shared" si="37"/>
        <v>No Prog ni Ejec</v>
      </c>
      <c r="BJ119" s="217">
        <f t="shared" si="38"/>
        <v>0</v>
      </c>
      <c r="BK119" s="217" t="str">
        <f t="shared" si="39"/>
        <v>No Prog ni Ejec</v>
      </c>
      <c r="BL119" s="217">
        <f t="shared" si="55"/>
        <v>0</v>
      </c>
      <c r="BM119" s="217" t="str">
        <f t="shared" si="56"/>
        <v>No Prog ni Ejec</v>
      </c>
      <c r="BN119" s="217">
        <f t="shared" si="40"/>
        <v>0</v>
      </c>
      <c r="BO119" s="217" t="str">
        <f t="shared" si="41"/>
        <v>No Prog ni Ejec</v>
      </c>
      <c r="BP119" s="206"/>
      <c r="BQ119" s="277">
        <v>7</v>
      </c>
      <c r="BR119" s="208">
        <f t="shared" si="42"/>
        <v>0.58333333333333337</v>
      </c>
      <c r="BS119" s="219" t="str">
        <f t="shared" si="57"/>
        <v>Medir el grado de cumplimiento de las acciones que hacen parte del Plan de mejoramiento institucional derivadas de la Auditoría de la CGR.</v>
      </c>
      <c r="BT119" s="195">
        <f t="shared" si="30"/>
        <v>0</v>
      </c>
      <c r="BU119" s="196"/>
      <c r="BV119" s="196"/>
      <c r="BW119" s="196"/>
      <c r="BX119" s="196"/>
      <c r="BY119" s="196"/>
      <c r="BZ119" s="19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99.75" x14ac:dyDescent="0.25">
      <c r="A120" s="197">
        <v>11800</v>
      </c>
      <c r="B120" s="194" t="s">
        <v>5</v>
      </c>
      <c r="C120" s="198" t="s">
        <v>348</v>
      </c>
      <c r="D120" s="194" t="s">
        <v>256</v>
      </c>
      <c r="E120" s="198" t="s">
        <v>557</v>
      </c>
      <c r="F120" s="194" t="s">
        <v>682</v>
      </c>
      <c r="G120" s="209" t="s">
        <v>123</v>
      </c>
      <c r="H120" s="246">
        <v>1</v>
      </c>
      <c r="I120" s="198" t="s">
        <v>559</v>
      </c>
      <c r="J120" s="194" t="s">
        <v>338</v>
      </c>
      <c r="K120" s="210">
        <v>200000000</v>
      </c>
      <c r="L120" s="211">
        <v>1</v>
      </c>
      <c r="M120" s="194" t="s">
        <v>51</v>
      </c>
      <c r="N120" s="194" t="s">
        <v>56</v>
      </c>
      <c r="O120" s="194" t="s">
        <v>21</v>
      </c>
      <c r="P120" s="194" t="s">
        <v>23</v>
      </c>
      <c r="Q120" s="194" t="s">
        <v>230</v>
      </c>
      <c r="R120" s="194" t="s">
        <v>341</v>
      </c>
      <c r="S120" s="194" t="s">
        <v>105</v>
      </c>
      <c r="T120" s="211">
        <v>1</v>
      </c>
      <c r="U120" s="212" t="str">
        <f t="shared" si="43"/>
        <v>Comunicar mensajes con contenidos de autocontrol y de esta manera fomentar la cultura del autocontrol en la ADRES.</v>
      </c>
      <c r="V120" s="213">
        <f t="shared" si="43"/>
        <v>200000000</v>
      </c>
      <c r="W120" s="222" t="s">
        <v>114</v>
      </c>
      <c r="X120" s="281">
        <v>0.25</v>
      </c>
      <c r="Y120" s="282" t="s">
        <v>338</v>
      </c>
      <c r="Z120" s="283">
        <v>50000000</v>
      </c>
      <c r="AA120" s="279"/>
      <c r="AB120" s="279"/>
      <c r="AC120" s="280">
        <f t="shared" si="44"/>
        <v>0</v>
      </c>
      <c r="AD120" s="280">
        <f t="shared" si="45"/>
        <v>0</v>
      </c>
      <c r="AE120" s="280">
        <f t="shared" si="31"/>
        <v>0</v>
      </c>
      <c r="AF120" s="280">
        <f t="shared" si="32"/>
        <v>0</v>
      </c>
      <c r="AG120" s="281">
        <v>0.25</v>
      </c>
      <c r="AH120" s="282" t="s">
        <v>338</v>
      </c>
      <c r="AI120" s="283">
        <v>50000000</v>
      </c>
      <c r="AJ120" s="279"/>
      <c r="AK120" s="279"/>
      <c r="AL120" s="280">
        <f t="shared" si="46"/>
        <v>0</v>
      </c>
      <c r="AM120" s="280">
        <f t="shared" si="33"/>
        <v>0</v>
      </c>
      <c r="AN120" s="280">
        <f t="shared" si="34"/>
        <v>0</v>
      </c>
      <c r="AO120" s="280">
        <f t="shared" si="35"/>
        <v>0</v>
      </c>
      <c r="AP120" s="281">
        <v>0.25</v>
      </c>
      <c r="AQ120" s="282" t="s">
        <v>338</v>
      </c>
      <c r="AR120" s="283">
        <v>50000000</v>
      </c>
      <c r="AS120" s="279"/>
      <c r="AT120" s="279"/>
      <c r="AU120" s="280">
        <f t="shared" si="47"/>
        <v>0</v>
      </c>
      <c r="AV120" s="280">
        <f t="shared" si="48"/>
        <v>0</v>
      </c>
      <c r="AW120" s="280">
        <f t="shared" si="49"/>
        <v>0</v>
      </c>
      <c r="AX120" s="280">
        <f t="shared" si="50"/>
        <v>0</v>
      </c>
      <c r="AY120" s="281">
        <v>0.25</v>
      </c>
      <c r="AZ120" s="282" t="s">
        <v>338</v>
      </c>
      <c r="BA120" s="283">
        <v>50000000</v>
      </c>
      <c r="BB120" s="279"/>
      <c r="BC120" s="279"/>
      <c r="BD120" s="281">
        <f t="shared" si="51"/>
        <v>0</v>
      </c>
      <c r="BE120" s="281">
        <f t="shared" si="52"/>
        <v>0</v>
      </c>
      <c r="BF120" s="281">
        <f t="shared" si="53"/>
        <v>0</v>
      </c>
      <c r="BG120" s="281">
        <f t="shared" si="54"/>
        <v>0</v>
      </c>
      <c r="BH120" s="205">
        <f t="shared" si="36"/>
        <v>0</v>
      </c>
      <c r="BI120" s="205">
        <f t="shared" si="37"/>
        <v>0</v>
      </c>
      <c r="BJ120" s="205">
        <f t="shared" si="38"/>
        <v>0</v>
      </c>
      <c r="BK120" s="205">
        <f t="shared" si="39"/>
        <v>0</v>
      </c>
      <c r="BL120" s="205">
        <f t="shared" si="55"/>
        <v>0</v>
      </c>
      <c r="BM120" s="205">
        <f t="shared" si="56"/>
        <v>0</v>
      </c>
      <c r="BN120" s="205">
        <f t="shared" si="40"/>
        <v>0</v>
      </c>
      <c r="BO120" s="205">
        <f t="shared" si="41"/>
        <v>0</v>
      </c>
      <c r="BP120" s="206"/>
      <c r="BQ120" s="277">
        <v>5</v>
      </c>
      <c r="BR120" s="208">
        <f t="shared" si="42"/>
        <v>0.58333333333333337</v>
      </c>
      <c r="BS120" s="219" t="str">
        <f t="shared" si="57"/>
        <v>Comunicar mensajes con contenidos de autocontrol y de esta manera fomentar la cultura del autocontrol en la ADRES.</v>
      </c>
      <c r="BT120" s="195">
        <f t="shared" si="30"/>
        <v>116666666.66666667</v>
      </c>
      <c r="BU120" s="196"/>
      <c r="BV120" s="196"/>
      <c r="BW120" s="196"/>
      <c r="BX120" s="196"/>
      <c r="BY120" s="196"/>
      <c r="BZ120" s="19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7" x14ac:dyDescent="0.25">
      <c r="A121" s="197">
        <v>11900</v>
      </c>
      <c r="B121" s="194" t="s">
        <v>349</v>
      </c>
      <c r="C121" s="198" t="s">
        <v>350</v>
      </c>
      <c r="D121" s="194" t="s">
        <v>153</v>
      </c>
      <c r="E121" s="198" t="s">
        <v>352</v>
      </c>
      <c r="F121" s="194" t="s">
        <v>763</v>
      </c>
      <c r="G121" s="209" t="s">
        <v>124</v>
      </c>
      <c r="H121" s="198">
        <v>4</v>
      </c>
      <c r="I121" s="198" t="s">
        <v>544</v>
      </c>
      <c r="J121" s="194" t="s">
        <v>685</v>
      </c>
      <c r="K121" s="210">
        <v>0</v>
      </c>
      <c r="L121" s="211">
        <v>1</v>
      </c>
      <c r="M121" s="194" t="s">
        <v>51</v>
      </c>
      <c r="N121" s="194" t="s">
        <v>68</v>
      </c>
      <c r="O121" s="194" t="s">
        <v>21</v>
      </c>
      <c r="P121" s="194" t="s">
        <v>36</v>
      </c>
      <c r="Q121" s="194" t="s">
        <v>75</v>
      </c>
      <c r="R121" s="194" t="s">
        <v>631</v>
      </c>
      <c r="S121" s="194" t="s">
        <v>98</v>
      </c>
      <c r="T121" s="221">
        <v>4</v>
      </c>
      <c r="U121" s="212" t="str">
        <f t="shared" si="43"/>
        <v xml:space="preserve">
Reportar  trimestralmente el cumplimiento del Plan de Acción de la Dependencia</v>
      </c>
      <c r="V121" s="213">
        <f t="shared" si="43"/>
        <v>0</v>
      </c>
      <c r="W121" s="214" t="s">
        <v>117</v>
      </c>
      <c r="X121" s="215">
        <v>1</v>
      </c>
      <c r="Y121" s="214" t="s">
        <v>685</v>
      </c>
      <c r="Z121" s="210">
        <v>0</v>
      </c>
      <c r="AA121" s="196"/>
      <c r="AB121" s="196"/>
      <c r="AC121" s="204">
        <f t="shared" si="44"/>
        <v>0</v>
      </c>
      <c r="AD121" s="204" t="e">
        <f t="shared" si="45"/>
        <v>#DIV/0!</v>
      </c>
      <c r="AE121" s="204">
        <f t="shared" si="31"/>
        <v>0</v>
      </c>
      <c r="AF121" s="204" t="e">
        <f t="shared" si="32"/>
        <v>#DIV/0!</v>
      </c>
      <c r="AG121" s="216">
        <v>1</v>
      </c>
      <c r="AH121" s="214" t="s">
        <v>685</v>
      </c>
      <c r="AI121" s="210">
        <v>0</v>
      </c>
      <c r="AJ121" s="196"/>
      <c r="AK121" s="196"/>
      <c r="AL121" s="204">
        <f t="shared" si="46"/>
        <v>0</v>
      </c>
      <c r="AM121" s="204" t="e">
        <f t="shared" si="33"/>
        <v>#DIV/0!</v>
      </c>
      <c r="AN121" s="204">
        <f t="shared" si="34"/>
        <v>0</v>
      </c>
      <c r="AO121" s="204" t="e">
        <f t="shared" si="35"/>
        <v>#DIV/0!</v>
      </c>
      <c r="AP121" s="216">
        <v>1</v>
      </c>
      <c r="AQ121" s="214" t="s">
        <v>685</v>
      </c>
      <c r="AR121" s="210">
        <v>0</v>
      </c>
      <c r="AS121" s="196"/>
      <c r="AT121" s="196"/>
      <c r="AU121" s="204">
        <f t="shared" si="47"/>
        <v>0</v>
      </c>
      <c r="AV121" s="204" t="e">
        <f t="shared" si="48"/>
        <v>#DIV/0!</v>
      </c>
      <c r="AW121" s="204">
        <f t="shared" si="49"/>
        <v>0</v>
      </c>
      <c r="AX121" s="204" t="e">
        <f t="shared" si="50"/>
        <v>#DIV/0!</v>
      </c>
      <c r="AY121" s="216">
        <v>1</v>
      </c>
      <c r="AZ121" s="214" t="s">
        <v>685</v>
      </c>
      <c r="BA121" s="210">
        <v>0</v>
      </c>
      <c r="BB121" s="196"/>
      <c r="BC121" s="196"/>
      <c r="BD121" s="216">
        <f t="shared" si="51"/>
        <v>0</v>
      </c>
      <c r="BE121" s="216" t="e">
        <f t="shared" si="52"/>
        <v>#DIV/0!</v>
      </c>
      <c r="BF121" s="216">
        <f t="shared" si="53"/>
        <v>0</v>
      </c>
      <c r="BG121" s="216" t="e">
        <f t="shared" si="54"/>
        <v>#DIV/0!</v>
      </c>
      <c r="BH121" s="217">
        <f t="shared" si="36"/>
        <v>0</v>
      </c>
      <c r="BI121" s="217" t="str">
        <f t="shared" si="37"/>
        <v>No Prog ni Ejec</v>
      </c>
      <c r="BJ121" s="217">
        <f t="shared" si="38"/>
        <v>0</v>
      </c>
      <c r="BK121" s="217" t="str">
        <f t="shared" si="39"/>
        <v>No Prog ni Ejec</v>
      </c>
      <c r="BL121" s="217">
        <f t="shared" si="55"/>
        <v>0</v>
      </c>
      <c r="BM121" s="217" t="str">
        <f t="shared" si="56"/>
        <v>No Prog ni Ejec</v>
      </c>
      <c r="BN121" s="217">
        <f t="shared" si="40"/>
        <v>0</v>
      </c>
      <c r="BO121" s="217" t="str">
        <f t="shared" si="41"/>
        <v>No Prog ni Ejec</v>
      </c>
      <c r="BP121" s="206"/>
      <c r="BQ121" s="277">
        <v>5</v>
      </c>
      <c r="BR121" s="218">
        <f t="shared" si="42"/>
        <v>2.3333333333333335</v>
      </c>
      <c r="BS121" s="219" t="str">
        <f t="shared" si="57"/>
        <v xml:space="preserve">
Reportar  trimestralmente el cumplimiento del Plan de Acción de la Dependencia</v>
      </c>
      <c r="BT121" s="195">
        <f t="shared" si="30"/>
        <v>0</v>
      </c>
      <c r="BU121" s="196"/>
      <c r="BV121" s="196"/>
      <c r="BW121" s="196"/>
      <c r="BX121" s="196"/>
      <c r="BY121" s="196"/>
      <c r="BZ121" s="19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99.75" x14ac:dyDescent="0.25">
      <c r="A122" s="197">
        <v>11900</v>
      </c>
      <c r="B122" s="194" t="s">
        <v>349</v>
      </c>
      <c r="C122" s="198" t="s">
        <v>351</v>
      </c>
      <c r="D122" s="194" t="s">
        <v>256</v>
      </c>
      <c r="E122" s="198" t="s">
        <v>353</v>
      </c>
      <c r="F122" s="194" t="s">
        <v>686</v>
      </c>
      <c r="G122" s="209" t="s">
        <v>123</v>
      </c>
      <c r="H122" s="216">
        <v>1</v>
      </c>
      <c r="I122" s="198" t="s">
        <v>545</v>
      </c>
      <c r="J122" s="194" t="s">
        <v>598</v>
      </c>
      <c r="K122" s="210">
        <v>0</v>
      </c>
      <c r="L122" s="211">
        <v>1</v>
      </c>
      <c r="M122" s="194" t="s">
        <v>51</v>
      </c>
      <c r="N122" s="194" t="s">
        <v>68</v>
      </c>
      <c r="O122" s="194" t="s">
        <v>21</v>
      </c>
      <c r="P122" s="194" t="s">
        <v>36</v>
      </c>
      <c r="Q122" s="194" t="s">
        <v>75</v>
      </c>
      <c r="R122" s="194" t="s">
        <v>672</v>
      </c>
      <c r="S122" s="194" t="s">
        <v>98</v>
      </c>
      <c r="T122" s="211">
        <v>1</v>
      </c>
      <c r="U122" s="212" t="str">
        <f t="shared" si="43"/>
        <v>Formular los procesos y procedimientos en el marco del MIPG</v>
      </c>
      <c r="V122" s="213">
        <f t="shared" si="43"/>
        <v>0</v>
      </c>
      <c r="W122" s="214" t="s">
        <v>117</v>
      </c>
      <c r="X122" s="216">
        <v>0.25</v>
      </c>
      <c r="Y122" s="214" t="s">
        <v>653</v>
      </c>
      <c r="Z122" s="210">
        <v>0</v>
      </c>
      <c r="AA122" s="196"/>
      <c r="AB122" s="196"/>
      <c r="AC122" s="204">
        <f t="shared" si="44"/>
        <v>0</v>
      </c>
      <c r="AD122" s="204" t="e">
        <f t="shared" si="45"/>
        <v>#DIV/0!</v>
      </c>
      <c r="AE122" s="204">
        <f t="shared" si="31"/>
        <v>0</v>
      </c>
      <c r="AF122" s="204" t="e">
        <f t="shared" si="32"/>
        <v>#DIV/0!</v>
      </c>
      <c r="AG122" s="216">
        <v>0.25</v>
      </c>
      <c r="AH122" s="214" t="s">
        <v>653</v>
      </c>
      <c r="AI122" s="210">
        <v>0</v>
      </c>
      <c r="AJ122" s="196"/>
      <c r="AK122" s="196"/>
      <c r="AL122" s="204">
        <f t="shared" si="46"/>
        <v>0</v>
      </c>
      <c r="AM122" s="204" t="e">
        <f t="shared" si="33"/>
        <v>#DIV/0!</v>
      </c>
      <c r="AN122" s="204">
        <f t="shared" si="34"/>
        <v>0</v>
      </c>
      <c r="AO122" s="204" t="e">
        <f t="shared" si="35"/>
        <v>#DIV/0!</v>
      </c>
      <c r="AP122" s="216">
        <v>0.25</v>
      </c>
      <c r="AQ122" s="214" t="s">
        <v>653</v>
      </c>
      <c r="AR122" s="210">
        <v>0</v>
      </c>
      <c r="AS122" s="196"/>
      <c r="AT122" s="196"/>
      <c r="AU122" s="204">
        <f t="shared" si="47"/>
        <v>0</v>
      </c>
      <c r="AV122" s="204" t="e">
        <f t="shared" si="48"/>
        <v>#DIV/0!</v>
      </c>
      <c r="AW122" s="204">
        <f t="shared" si="49"/>
        <v>0</v>
      </c>
      <c r="AX122" s="204" t="e">
        <f t="shared" si="50"/>
        <v>#DIV/0!</v>
      </c>
      <c r="AY122" s="216">
        <v>0.25</v>
      </c>
      <c r="AZ122" s="214" t="s">
        <v>653</v>
      </c>
      <c r="BA122" s="210">
        <v>0</v>
      </c>
      <c r="BB122" s="196"/>
      <c r="BC122" s="196"/>
      <c r="BD122" s="216">
        <f t="shared" si="51"/>
        <v>0</v>
      </c>
      <c r="BE122" s="216" t="e">
        <f t="shared" si="52"/>
        <v>#DIV/0!</v>
      </c>
      <c r="BF122" s="216">
        <f t="shared" si="53"/>
        <v>0</v>
      </c>
      <c r="BG122" s="216" t="e">
        <f t="shared" si="54"/>
        <v>#DIV/0!</v>
      </c>
      <c r="BH122" s="217">
        <f t="shared" si="36"/>
        <v>0</v>
      </c>
      <c r="BI122" s="217" t="str">
        <f t="shared" si="37"/>
        <v>No Prog ni Ejec</v>
      </c>
      <c r="BJ122" s="217">
        <f t="shared" si="38"/>
        <v>0</v>
      </c>
      <c r="BK122" s="217" t="str">
        <f t="shared" si="39"/>
        <v>No Prog ni Ejec</v>
      </c>
      <c r="BL122" s="217">
        <f t="shared" si="55"/>
        <v>0</v>
      </c>
      <c r="BM122" s="217" t="str">
        <f t="shared" si="56"/>
        <v>No Prog ni Ejec</v>
      </c>
      <c r="BN122" s="217">
        <f t="shared" si="40"/>
        <v>0</v>
      </c>
      <c r="BO122" s="217" t="str">
        <f t="shared" si="41"/>
        <v>No Prog ni Ejec</v>
      </c>
      <c r="BP122" s="206"/>
      <c r="BQ122" s="277">
        <v>5</v>
      </c>
      <c r="BR122" s="208">
        <f t="shared" si="42"/>
        <v>0.58333333333333337</v>
      </c>
      <c r="BS122" s="219" t="str">
        <f t="shared" si="57"/>
        <v>Formular los procesos y procedimientos en el marco del MIPG</v>
      </c>
      <c r="BT122" s="195">
        <f t="shared" si="30"/>
        <v>0</v>
      </c>
      <c r="BU122" s="196"/>
      <c r="BV122" s="196"/>
      <c r="BW122" s="196"/>
      <c r="BX122" s="196"/>
      <c r="BY122" s="196"/>
      <c r="BZ122" s="19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99.75" x14ac:dyDescent="0.25">
      <c r="A123" s="197">
        <v>11900</v>
      </c>
      <c r="B123" s="194" t="s">
        <v>349</v>
      </c>
      <c r="C123" s="198" t="s">
        <v>351</v>
      </c>
      <c r="D123" s="194" t="s">
        <v>256</v>
      </c>
      <c r="E123" s="198" t="s">
        <v>354</v>
      </c>
      <c r="F123" s="194" t="s">
        <v>687</v>
      </c>
      <c r="G123" s="209" t="s">
        <v>124</v>
      </c>
      <c r="H123" s="198">
        <v>4</v>
      </c>
      <c r="I123" s="198" t="s">
        <v>560</v>
      </c>
      <c r="J123" s="194" t="s">
        <v>688</v>
      </c>
      <c r="K123" s="210">
        <v>0</v>
      </c>
      <c r="L123" s="211">
        <v>1</v>
      </c>
      <c r="M123" s="194" t="s">
        <v>51</v>
      </c>
      <c r="N123" s="194" t="s">
        <v>68</v>
      </c>
      <c r="O123" s="194" t="s">
        <v>21</v>
      </c>
      <c r="P123" s="194" t="s">
        <v>36</v>
      </c>
      <c r="Q123" s="194" t="s">
        <v>75</v>
      </c>
      <c r="R123" s="194" t="s">
        <v>570</v>
      </c>
      <c r="S123" s="194" t="s">
        <v>98</v>
      </c>
      <c r="T123" s="198">
        <v>4</v>
      </c>
      <c r="U123" s="212" t="str">
        <f t="shared" si="43"/>
        <v>Evaluar la gestión y resultados de los procesos de calidad de la Dependencia y remitir informes trimestrales de los indicadores formulados y las acciones de mejoras</v>
      </c>
      <c r="V123" s="213">
        <f t="shared" si="43"/>
        <v>0</v>
      </c>
      <c r="W123" s="214" t="s">
        <v>117</v>
      </c>
      <c r="X123" s="215">
        <v>1</v>
      </c>
      <c r="Y123" s="214" t="s">
        <v>688</v>
      </c>
      <c r="Z123" s="210">
        <v>0</v>
      </c>
      <c r="AA123" s="196"/>
      <c r="AB123" s="196"/>
      <c r="AC123" s="204">
        <f t="shared" si="44"/>
        <v>0</v>
      </c>
      <c r="AD123" s="204" t="e">
        <f t="shared" si="45"/>
        <v>#DIV/0!</v>
      </c>
      <c r="AE123" s="204">
        <f t="shared" si="31"/>
        <v>0</v>
      </c>
      <c r="AF123" s="204" t="e">
        <f t="shared" si="32"/>
        <v>#DIV/0!</v>
      </c>
      <c r="AG123" s="215">
        <v>1</v>
      </c>
      <c r="AH123" s="214" t="s">
        <v>688</v>
      </c>
      <c r="AI123" s="210">
        <v>0</v>
      </c>
      <c r="AJ123" s="196"/>
      <c r="AK123" s="196"/>
      <c r="AL123" s="204">
        <f t="shared" si="46"/>
        <v>0</v>
      </c>
      <c r="AM123" s="204" t="e">
        <f t="shared" si="33"/>
        <v>#DIV/0!</v>
      </c>
      <c r="AN123" s="204">
        <f t="shared" si="34"/>
        <v>0</v>
      </c>
      <c r="AO123" s="204" t="e">
        <f t="shared" si="35"/>
        <v>#DIV/0!</v>
      </c>
      <c r="AP123" s="215">
        <v>1</v>
      </c>
      <c r="AQ123" s="214" t="s">
        <v>688</v>
      </c>
      <c r="AR123" s="210">
        <v>0</v>
      </c>
      <c r="AS123" s="196"/>
      <c r="AT123" s="196"/>
      <c r="AU123" s="204">
        <f t="shared" si="47"/>
        <v>0</v>
      </c>
      <c r="AV123" s="204" t="e">
        <f t="shared" si="48"/>
        <v>#DIV/0!</v>
      </c>
      <c r="AW123" s="204">
        <f t="shared" si="49"/>
        <v>0</v>
      </c>
      <c r="AX123" s="204" t="e">
        <f t="shared" si="50"/>
        <v>#DIV/0!</v>
      </c>
      <c r="AY123" s="215">
        <v>1</v>
      </c>
      <c r="AZ123" s="247" t="s">
        <v>688</v>
      </c>
      <c r="BA123" s="210">
        <v>0</v>
      </c>
      <c r="BB123" s="196"/>
      <c r="BC123" s="196"/>
      <c r="BD123" s="216">
        <f t="shared" si="51"/>
        <v>0</v>
      </c>
      <c r="BE123" s="216" t="e">
        <f t="shared" si="52"/>
        <v>#DIV/0!</v>
      </c>
      <c r="BF123" s="216">
        <f t="shared" si="53"/>
        <v>0</v>
      </c>
      <c r="BG123" s="216" t="e">
        <f t="shared" si="54"/>
        <v>#DIV/0!</v>
      </c>
      <c r="BH123" s="217">
        <f t="shared" si="36"/>
        <v>0</v>
      </c>
      <c r="BI123" s="217" t="str">
        <f t="shared" si="37"/>
        <v>No Prog ni Ejec</v>
      </c>
      <c r="BJ123" s="217">
        <f t="shared" si="38"/>
        <v>0</v>
      </c>
      <c r="BK123" s="217" t="str">
        <f t="shared" si="39"/>
        <v>No Prog ni Ejec</v>
      </c>
      <c r="BL123" s="217">
        <f t="shared" si="55"/>
        <v>0</v>
      </c>
      <c r="BM123" s="217" t="str">
        <f t="shared" si="56"/>
        <v>No Prog ni Ejec</v>
      </c>
      <c r="BN123" s="217">
        <f t="shared" si="40"/>
        <v>0</v>
      </c>
      <c r="BO123" s="217" t="str">
        <f t="shared" si="41"/>
        <v>No Prog ni Ejec</v>
      </c>
      <c r="BP123" s="206"/>
      <c r="BQ123" s="277">
        <v>5</v>
      </c>
      <c r="BR123" s="218">
        <f t="shared" si="42"/>
        <v>2.3333333333333335</v>
      </c>
      <c r="BS123" s="219" t="str">
        <f t="shared" si="57"/>
        <v>Evaluar la gestión y resultados de los procesos de calidad de la Dependencia y remitir informes trimestrales de los indicadores formulados y las acciones de mejoras</v>
      </c>
      <c r="BT123" s="195">
        <f t="shared" si="30"/>
        <v>0</v>
      </c>
      <c r="BU123" s="196"/>
      <c r="BV123" s="196"/>
      <c r="BW123" s="196"/>
      <c r="BX123" s="196"/>
      <c r="BY123" s="196"/>
      <c r="BZ123" s="19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7" x14ac:dyDescent="0.25">
      <c r="A124" s="197">
        <v>11900</v>
      </c>
      <c r="B124" s="194" t="s">
        <v>349</v>
      </c>
      <c r="C124" s="198" t="s">
        <v>357</v>
      </c>
      <c r="D124" s="194" t="s">
        <v>146</v>
      </c>
      <c r="E124" s="198" t="s">
        <v>358</v>
      </c>
      <c r="F124" s="194" t="s">
        <v>767</v>
      </c>
      <c r="G124" s="209" t="s">
        <v>123</v>
      </c>
      <c r="H124" s="216">
        <v>1</v>
      </c>
      <c r="I124" s="198" t="s">
        <v>359</v>
      </c>
      <c r="J124" s="194" t="s">
        <v>690</v>
      </c>
      <c r="K124" s="210">
        <v>254442984</v>
      </c>
      <c r="L124" s="211">
        <v>1</v>
      </c>
      <c r="M124" s="194" t="s">
        <v>46</v>
      </c>
      <c r="N124" s="194" t="s">
        <v>74</v>
      </c>
      <c r="O124" s="194" t="s">
        <v>21</v>
      </c>
      <c r="P124" s="194" t="s">
        <v>36</v>
      </c>
      <c r="Q124" s="194" t="s">
        <v>229</v>
      </c>
      <c r="R124" s="194" t="s">
        <v>360</v>
      </c>
      <c r="S124" s="194" t="s">
        <v>99</v>
      </c>
      <c r="T124" s="211">
        <v>1</v>
      </c>
      <c r="U124" s="212" t="str">
        <f t="shared" si="43"/>
        <v>Atender las solicitudes de informes derivadas de acciones constitucionales y tutelas</v>
      </c>
      <c r="V124" s="213">
        <f t="shared" si="43"/>
        <v>254442984</v>
      </c>
      <c r="W124" s="222" t="s">
        <v>114</v>
      </c>
      <c r="X124" s="281">
        <v>0.25</v>
      </c>
      <c r="Y124" s="282" t="s">
        <v>690</v>
      </c>
      <c r="Z124" s="283">
        <f>+X124*V124</f>
        <v>63610746</v>
      </c>
      <c r="AA124" s="279"/>
      <c r="AB124" s="279"/>
      <c r="AC124" s="280">
        <f t="shared" si="44"/>
        <v>0</v>
      </c>
      <c r="AD124" s="280">
        <f t="shared" si="45"/>
        <v>0</v>
      </c>
      <c r="AE124" s="280">
        <f t="shared" si="31"/>
        <v>0</v>
      </c>
      <c r="AF124" s="280">
        <f t="shared" si="32"/>
        <v>0</v>
      </c>
      <c r="AG124" s="281">
        <v>0.25</v>
      </c>
      <c r="AH124" s="282" t="s">
        <v>690</v>
      </c>
      <c r="AI124" s="283">
        <v>63610746</v>
      </c>
      <c r="AJ124" s="279"/>
      <c r="AK124" s="279"/>
      <c r="AL124" s="280">
        <f t="shared" si="46"/>
        <v>0</v>
      </c>
      <c r="AM124" s="280">
        <f t="shared" si="33"/>
        <v>0</v>
      </c>
      <c r="AN124" s="280">
        <f t="shared" si="34"/>
        <v>0</v>
      </c>
      <c r="AO124" s="280">
        <f t="shared" si="35"/>
        <v>0</v>
      </c>
      <c r="AP124" s="281">
        <v>0.25</v>
      </c>
      <c r="AQ124" s="282" t="s">
        <v>690</v>
      </c>
      <c r="AR124" s="283">
        <v>63610746</v>
      </c>
      <c r="AS124" s="279"/>
      <c r="AT124" s="279"/>
      <c r="AU124" s="280">
        <f t="shared" si="47"/>
        <v>0</v>
      </c>
      <c r="AV124" s="280">
        <f t="shared" si="48"/>
        <v>0</v>
      </c>
      <c r="AW124" s="280">
        <f t="shared" si="49"/>
        <v>0</v>
      </c>
      <c r="AX124" s="280">
        <f t="shared" si="50"/>
        <v>0</v>
      </c>
      <c r="AY124" s="281">
        <v>0.25</v>
      </c>
      <c r="AZ124" s="282" t="s">
        <v>690</v>
      </c>
      <c r="BA124" s="283">
        <v>63610746</v>
      </c>
      <c r="BB124" s="279"/>
      <c r="BC124" s="279"/>
      <c r="BD124" s="281">
        <f t="shared" si="51"/>
        <v>0</v>
      </c>
      <c r="BE124" s="281">
        <f t="shared" si="52"/>
        <v>0</v>
      </c>
      <c r="BF124" s="281">
        <f t="shared" si="53"/>
        <v>0</v>
      </c>
      <c r="BG124" s="281">
        <f t="shared" si="54"/>
        <v>0</v>
      </c>
      <c r="BH124" s="205">
        <f t="shared" si="36"/>
        <v>0</v>
      </c>
      <c r="BI124" s="205">
        <f t="shared" si="37"/>
        <v>0</v>
      </c>
      <c r="BJ124" s="205">
        <f t="shared" si="38"/>
        <v>0</v>
      </c>
      <c r="BK124" s="205">
        <f t="shared" si="39"/>
        <v>0</v>
      </c>
      <c r="BL124" s="205">
        <f t="shared" si="55"/>
        <v>0</v>
      </c>
      <c r="BM124" s="205">
        <f t="shared" si="56"/>
        <v>0</v>
      </c>
      <c r="BN124" s="205">
        <f t="shared" si="40"/>
        <v>0</v>
      </c>
      <c r="BO124" s="205">
        <f t="shared" si="41"/>
        <v>0</v>
      </c>
      <c r="BP124" s="206"/>
      <c r="BQ124" s="277">
        <v>32</v>
      </c>
      <c r="BR124" s="208">
        <f t="shared" si="42"/>
        <v>0.58333333333333337</v>
      </c>
      <c r="BS124" s="219" t="str">
        <f t="shared" si="57"/>
        <v>Atender las solicitudes de informes derivadas de acciones constitucionales y tutelas</v>
      </c>
      <c r="BT124" s="195">
        <f t="shared" si="30"/>
        <v>148425074</v>
      </c>
      <c r="BU124" s="196"/>
      <c r="BV124" s="196"/>
      <c r="BW124" s="196"/>
      <c r="BX124" s="196"/>
      <c r="BY124" s="196"/>
      <c r="BZ124" s="19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7" x14ac:dyDescent="0.25">
      <c r="A125" s="197">
        <v>11900</v>
      </c>
      <c r="B125" s="194" t="s">
        <v>349</v>
      </c>
      <c r="C125" s="198" t="s">
        <v>357</v>
      </c>
      <c r="D125" s="194" t="s">
        <v>146</v>
      </c>
      <c r="E125" s="198" t="s">
        <v>361</v>
      </c>
      <c r="F125" s="194" t="s">
        <v>436</v>
      </c>
      <c r="G125" s="209" t="s">
        <v>123</v>
      </c>
      <c r="H125" s="216">
        <v>1</v>
      </c>
      <c r="I125" s="198" t="s">
        <v>458</v>
      </c>
      <c r="J125" s="194" t="s">
        <v>362</v>
      </c>
      <c r="K125" s="1329">
        <v>768132904</v>
      </c>
      <c r="L125" s="1330">
        <v>1</v>
      </c>
      <c r="M125" s="194" t="s">
        <v>46</v>
      </c>
      <c r="N125" s="194" t="s">
        <v>74</v>
      </c>
      <c r="O125" s="194" t="s">
        <v>21</v>
      </c>
      <c r="P125" s="194" t="s">
        <v>36</v>
      </c>
      <c r="Q125" s="194" t="s">
        <v>229</v>
      </c>
      <c r="R125" s="194" t="s">
        <v>437</v>
      </c>
      <c r="S125" s="194" t="s">
        <v>99</v>
      </c>
      <c r="T125" s="211">
        <v>1</v>
      </c>
      <c r="U125" s="212" t="str">
        <f t="shared" si="43"/>
        <v>Ejercer la defensa extrajudicial y judicial en los asuntos y/o procesos judiciales en que la ADRES es parte o vinculado.</v>
      </c>
      <c r="V125" s="213">
        <f t="shared" si="43"/>
        <v>768132904</v>
      </c>
      <c r="W125" s="222" t="s">
        <v>114</v>
      </c>
      <c r="X125" s="216">
        <v>0.25</v>
      </c>
      <c r="Y125" s="214" t="s">
        <v>362</v>
      </c>
      <c r="Z125" s="210">
        <f>+V125*X125</f>
        <v>192033226</v>
      </c>
      <c r="AA125" s="196"/>
      <c r="AB125" s="196"/>
      <c r="AC125" s="204">
        <f t="shared" si="44"/>
        <v>0</v>
      </c>
      <c r="AD125" s="204">
        <f t="shared" si="45"/>
        <v>0</v>
      </c>
      <c r="AE125" s="204">
        <f t="shared" si="31"/>
        <v>0</v>
      </c>
      <c r="AF125" s="204">
        <f t="shared" si="32"/>
        <v>0</v>
      </c>
      <c r="AG125" s="216">
        <v>0.25</v>
      </c>
      <c r="AH125" s="214" t="s">
        <v>362</v>
      </c>
      <c r="AI125" s="210">
        <v>192033226</v>
      </c>
      <c r="AJ125" s="196"/>
      <c r="AK125" s="196"/>
      <c r="AL125" s="204">
        <f t="shared" si="46"/>
        <v>0</v>
      </c>
      <c r="AM125" s="204">
        <f t="shared" si="33"/>
        <v>0</v>
      </c>
      <c r="AN125" s="204">
        <f t="shared" si="34"/>
        <v>0</v>
      </c>
      <c r="AO125" s="204">
        <f t="shared" si="35"/>
        <v>0</v>
      </c>
      <c r="AP125" s="216">
        <v>0.25</v>
      </c>
      <c r="AQ125" s="214" t="s">
        <v>362</v>
      </c>
      <c r="AR125" s="210">
        <v>192033226</v>
      </c>
      <c r="AS125" s="196"/>
      <c r="AT125" s="196"/>
      <c r="AU125" s="204">
        <f t="shared" si="47"/>
        <v>0</v>
      </c>
      <c r="AV125" s="204">
        <f t="shared" si="48"/>
        <v>0</v>
      </c>
      <c r="AW125" s="204">
        <f t="shared" si="49"/>
        <v>0</v>
      </c>
      <c r="AX125" s="204">
        <f t="shared" si="50"/>
        <v>0</v>
      </c>
      <c r="AY125" s="216">
        <v>0.25</v>
      </c>
      <c r="AZ125" s="214" t="s">
        <v>362</v>
      </c>
      <c r="BA125" s="210">
        <v>192033226</v>
      </c>
      <c r="BB125" s="196"/>
      <c r="BC125" s="196"/>
      <c r="BD125" s="216">
        <f t="shared" si="51"/>
        <v>0</v>
      </c>
      <c r="BE125" s="216">
        <f t="shared" si="52"/>
        <v>0</v>
      </c>
      <c r="BF125" s="216">
        <f t="shared" si="53"/>
        <v>0</v>
      </c>
      <c r="BG125" s="216">
        <f t="shared" si="54"/>
        <v>0</v>
      </c>
      <c r="BH125" s="228">
        <f t="shared" si="36"/>
        <v>0</v>
      </c>
      <c r="BI125" s="228">
        <f t="shared" si="37"/>
        <v>0</v>
      </c>
      <c r="BJ125" s="228">
        <f t="shared" si="38"/>
        <v>0</v>
      </c>
      <c r="BK125" s="228">
        <f t="shared" si="39"/>
        <v>0</v>
      </c>
      <c r="BL125" s="228">
        <f t="shared" si="55"/>
        <v>0</v>
      </c>
      <c r="BM125" s="228">
        <f t="shared" si="56"/>
        <v>0</v>
      </c>
      <c r="BN125" s="228">
        <f t="shared" si="40"/>
        <v>0</v>
      </c>
      <c r="BO125" s="228">
        <f t="shared" si="41"/>
        <v>0</v>
      </c>
      <c r="BP125" s="206"/>
      <c r="BQ125" s="277">
        <v>32</v>
      </c>
      <c r="BR125" s="208">
        <f t="shared" si="42"/>
        <v>0.58333333333333337</v>
      </c>
      <c r="BS125" s="219" t="str">
        <f t="shared" si="57"/>
        <v>Ejercer la defensa extrajudicial y judicial en los asuntos y/o procesos judiciales en que la ADRES es parte o vinculado.</v>
      </c>
      <c r="BT125" s="195">
        <f t="shared" si="30"/>
        <v>448077527.33333331</v>
      </c>
      <c r="BU125" s="196"/>
      <c r="BV125" s="196"/>
      <c r="BW125" s="196"/>
      <c r="BX125" s="196"/>
      <c r="BY125" s="196"/>
      <c r="BZ125" s="19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71.25" x14ac:dyDescent="0.25">
      <c r="A126" s="197">
        <v>11900</v>
      </c>
      <c r="B126" s="194" t="s">
        <v>349</v>
      </c>
      <c r="C126" s="198" t="s">
        <v>357</v>
      </c>
      <c r="D126" s="194" t="s">
        <v>146</v>
      </c>
      <c r="E126" s="198" t="s">
        <v>371</v>
      </c>
      <c r="F126" s="194" t="s">
        <v>366</v>
      </c>
      <c r="G126" s="209" t="s">
        <v>123</v>
      </c>
      <c r="H126" s="216">
        <v>1</v>
      </c>
      <c r="I126" s="198" t="s">
        <v>547</v>
      </c>
      <c r="J126" s="194" t="s">
        <v>362</v>
      </c>
      <c r="K126" s="1329"/>
      <c r="L126" s="1330"/>
      <c r="M126" s="194" t="s">
        <v>46</v>
      </c>
      <c r="N126" s="194" t="s">
        <v>74</v>
      </c>
      <c r="O126" s="194" t="s">
        <v>21</v>
      </c>
      <c r="P126" s="194" t="s">
        <v>36</v>
      </c>
      <c r="Q126" s="194" t="s">
        <v>229</v>
      </c>
      <c r="R126" s="194" t="s">
        <v>370</v>
      </c>
      <c r="S126" s="194" t="s">
        <v>99</v>
      </c>
      <c r="T126" s="211">
        <v>1</v>
      </c>
      <c r="U126" s="212" t="str">
        <f t="shared" si="43"/>
        <v>Ejercer la defensa extrajudicial y judicial en los asuntos y/o procesos judiciales en que la ADRES es parte o vinculado.</v>
      </c>
      <c r="V126" s="213">
        <f t="shared" si="43"/>
        <v>0</v>
      </c>
      <c r="W126" s="222" t="s">
        <v>114</v>
      </c>
      <c r="X126" s="281">
        <v>0.25</v>
      </c>
      <c r="Y126" s="282" t="s">
        <v>362</v>
      </c>
      <c r="Z126" s="283">
        <v>0</v>
      </c>
      <c r="AA126" s="279"/>
      <c r="AB126" s="279"/>
      <c r="AC126" s="280">
        <f t="shared" si="44"/>
        <v>0</v>
      </c>
      <c r="AD126" s="280" t="e">
        <f t="shared" si="45"/>
        <v>#DIV/0!</v>
      </c>
      <c r="AE126" s="280">
        <f t="shared" si="31"/>
        <v>0</v>
      </c>
      <c r="AF126" s="280" t="e">
        <f t="shared" si="32"/>
        <v>#DIV/0!</v>
      </c>
      <c r="AG126" s="281">
        <v>0.25</v>
      </c>
      <c r="AH126" s="282" t="s">
        <v>362</v>
      </c>
      <c r="AI126" s="283">
        <v>0</v>
      </c>
      <c r="AJ126" s="279"/>
      <c r="AK126" s="279"/>
      <c r="AL126" s="280">
        <f t="shared" si="46"/>
        <v>0</v>
      </c>
      <c r="AM126" s="280" t="e">
        <f t="shared" si="33"/>
        <v>#DIV/0!</v>
      </c>
      <c r="AN126" s="280">
        <f t="shared" si="34"/>
        <v>0</v>
      </c>
      <c r="AO126" s="280" t="e">
        <f t="shared" si="35"/>
        <v>#DIV/0!</v>
      </c>
      <c r="AP126" s="281">
        <v>0.25</v>
      </c>
      <c r="AQ126" s="282" t="s">
        <v>362</v>
      </c>
      <c r="AR126" s="283">
        <v>0</v>
      </c>
      <c r="AS126" s="279"/>
      <c r="AT126" s="279"/>
      <c r="AU126" s="280">
        <f t="shared" si="47"/>
        <v>0</v>
      </c>
      <c r="AV126" s="280" t="e">
        <f t="shared" si="48"/>
        <v>#DIV/0!</v>
      </c>
      <c r="AW126" s="280">
        <f t="shared" si="49"/>
        <v>0</v>
      </c>
      <c r="AX126" s="280" t="e">
        <f t="shared" si="50"/>
        <v>#DIV/0!</v>
      </c>
      <c r="AY126" s="281">
        <v>0.25</v>
      </c>
      <c r="AZ126" s="282" t="s">
        <v>362</v>
      </c>
      <c r="BA126" s="283">
        <v>0</v>
      </c>
      <c r="BB126" s="279"/>
      <c r="BC126" s="279"/>
      <c r="BD126" s="281">
        <f t="shared" si="51"/>
        <v>0</v>
      </c>
      <c r="BE126" s="281" t="e">
        <f t="shared" si="52"/>
        <v>#DIV/0!</v>
      </c>
      <c r="BF126" s="281">
        <f t="shared" si="53"/>
        <v>0</v>
      </c>
      <c r="BG126" s="281" t="e">
        <f t="shared" si="54"/>
        <v>#DIV/0!</v>
      </c>
      <c r="BH126" s="205">
        <f t="shared" si="36"/>
        <v>0</v>
      </c>
      <c r="BI126" s="205" t="str">
        <f t="shared" si="37"/>
        <v>No Prog ni Ejec</v>
      </c>
      <c r="BJ126" s="205">
        <f t="shared" si="38"/>
        <v>0</v>
      </c>
      <c r="BK126" s="205" t="str">
        <f t="shared" si="39"/>
        <v>No Prog ni Ejec</v>
      </c>
      <c r="BL126" s="205">
        <f t="shared" si="55"/>
        <v>0</v>
      </c>
      <c r="BM126" s="205" t="str">
        <f t="shared" si="56"/>
        <v>No Prog ni Ejec</v>
      </c>
      <c r="BN126" s="205">
        <f t="shared" si="40"/>
        <v>0</v>
      </c>
      <c r="BO126" s="205" t="str">
        <f t="shared" si="41"/>
        <v>No Prog ni Ejec</v>
      </c>
      <c r="BP126" s="206"/>
      <c r="BQ126" s="277">
        <v>32</v>
      </c>
      <c r="BR126" s="208">
        <f t="shared" si="42"/>
        <v>0.58333333333333337</v>
      </c>
      <c r="BS126" s="219" t="str">
        <f t="shared" si="57"/>
        <v>Ejercer la defensa extrajudicial y judicial en los asuntos y/o procesos judiciales en que la ADRES es parte o vinculado.</v>
      </c>
      <c r="BT126" s="195">
        <f t="shared" si="30"/>
        <v>0</v>
      </c>
      <c r="BU126" s="196"/>
      <c r="BV126" s="196"/>
      <c r="BW126" s="196"/>
      <c r="BX126" s="196"/>
      <c r="BY126" s="196"/>
      <c r="BZ126" s="19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7" x14ac:dyDescent="0.25">
      <c r="A127" s="197">
        <v>11900</v>
      </c>
      <c r="B127" s="194" t="s">
        <v>349</v>
      </c>
      <c r="C127" s="198" t="s">
        <v>357</v>
      </c>
      <c r="D127" s="194" t="s">
        <v>146</v>
      </c>
      <c r="E127" s="198" t="s">
        <v>372</v>
      </c>
      <c r="F127" s="194" t="s">
        <v>367</v>
      </c>
      <c r="G127" s="209" t="s">
        <v>123</v>
      </c>
      <c r="H127" s="216">
        <v>1</v>
      </c>
      <c r="I127" s="198" t="s">
        <v>459</v>
      </c>
      <c r="J127" s="194" t="s">
        <v>363</v>
      </c>
      <c r="K127" s="1329"/>
      <c r="L127" s="1330"/>
      <c r="M127" s="194" t="s">
        <v>46</v>
      </c>
      <c r="N127" s="194" t="s">
        <v>74</v>
      </c>
      <c r="O127" s="194" t="s">
        <v>21</v>
      </c>
      <c r="P127" s="194" t="s">
        <v>36</v>
      </c>
      <c r="Q127" s="194" t="s">
        <v>229</v>
      </c>
      <c r="R127" s="194" t="s">
        <v>438</v>
      </c>
      <c r="S127" s="194" t="s">
        <v>99</v>
      </c>
      <c r="T127" s="211">
        <v>1</v>
      </c>
      <c r="U127" s="212" t="str">
        <f t="shared" si="43"/>
        <v>Atender las solicitudes de pruebas de los despachos judiciales o terceros intervinientes en el proceso judicial</v>
      </c>
      <c r="V127" s="213">
        <f t="shared" si="43"/>
        <v>0</v>
      </c>
      <c r="W127" s="222" t="s">
        <v>114</v>
      </c>
      <c r="X127" s="216">
        <v>0.25</v>
      </c>
      <c r="Y127" s="214" t="s">
        <v>363</v>
      </c>
      <c r="Z127" s="210">
        <v>0</v>
      </c>
      <c r="AA127" s="196"/>
      <c r="AB127" s="196"/>
      <c r="AC127" s="204">
        <f t="shared" si="44"/>
        <v>0</v>
      </c>
      <c r="AD127" s="204" t="e">
        <f t="shared" si="45"/>
        <v>#DIV/0!</v>
      </c>
      <c r="AE127" s="204">
        <f t="shared" si="31"/>
        <v>0</v>
      </c>
      <c r="AF127" s="204" t="e">
        <f t="shared" si="32"/>
        <v>#DIV/0!</v>
      </c>
      <c r="AG127" s="216">
        <v>0.25</v>
      </c>
      <c r="AH127" s="214" t="s">
        <v>363</v>
      </c>
      <c r="AI127" s="210">
        <v>0</v>
      </c>
      <c r="AJ127" s="196"/>
      <c r="AK127" s="196"/>
      <c r="AL127" s="204">
        <f t="shared" si="46"/>
        <v>0</v>
      </c>
      <c r="AM127" s="204" t="e">
        <f t="shared" si="33"/>
        <v>#DIV/0!</v>
      </c>
      <c r="AN127" s="204">
        <f t="shared" si="34"/>
        <v>0</v>
      </c>
      <c r="AO127" s="204" t="e">
        <f t="shared" si="35"/>
        <v>#DIV/0!</v>
      </c>
      <c r="AP127" s="216">
        <v>0.25</v>
      </c>
      <c r="AQ127" s="214" t="s">
        <v>363</v>
      </c>
      <c r="AR127" s="210">
        <v>0</v>
      </c>
      <c r="AS127" s="196"/>
      <c r="AT127" s="196"/>
      <c r="AU127" s="204">
        <f t="shared" si="47"/>
        <v>0</v>
      </c>
      <c r="AV127" s="204" t="e">
        <f t="shared" si="48"/>
        <v>#DIV/0!</v>
      </c>
      <c r="AW127" s="204">
        <f t="shared" si="49"/>
        <v>0</v>
      </c>
      <c r="AX127" s="204" t="e">
        <f t="shared" si="50"/>
        <v>#DIV/0!</v>
      </c>
      <c r="AY127" s="216">
        <v>0.25</v>
      </c>
      <c r="AZ127" s="214" t="s">
        <v>363</v>
      </c>
      <c r="BA127" s="210">
        <v>0</v>
      </c>
      <c r="BB127" s="196"/>
      <c r="BC127" s="196"/>
      <c r="BD127" s="216">
        <f t="shared" si="51"/>
        <v>0</v>
      </c>
      <c r="BE127" s="216" t="e">
        <f t="shared" si="52"/>
        <v>#DIV/0!</v>
      </c>
      <c r="BF127" s="216">
        <f t="shared" si="53"/>
        <v>0</v>
      </c>
      <c r="BG127" s="216" t="e">
        <f t="shared" si="54"/>
        <v>#DIV/0!</v>
      </c>
      <c r="BH127" s="228">
        <f t="shared" si="36"/>
        <v>0</v>
      </c>
      <c r="BI127" s="228" t="str">
        <f t="shared" si="37"/>
        <v>No Prog ni Ejec</v>
      </c>
      <c r="BJ127" s="228">
        <f t="shared" si="38"/>
        <v>0</v>
      </c>
      <c r="BK127" s="228" t="str">
        <f t="shared" si="39"/>
        <v>No Prog ni Ejec</v>
      </c>
      <c r="BL127" s="228">
        <f t="shared" si="55"/>
        <v>0</v>
      </c>
      <c r="BM127" s="228" t="str">
        <f t="shared" si="56"/>
        <v>No Prog ni Ejec</v>
      </c>
      <c r="BN127" s="228">
        <f t="shared" si="40"/>
        <v>0</v>
      </c>
      <c r="BO127" s="228" t="str">
        <f t="shared" si="41"/>
        <v>No Prog ni Ejec</v>
      </c>
      <c r="BP127" s="206"/>
      <c r="BQ127" s="277">
        <v>32</v>
      </c>
      <c r="BR127" s="208">
        <f t="shared" si="42"/>
        <v>0.58333333333333337</v>
      </c>
      <c r="BS127" s="219" t="str">
        <f t="shared" si="57"/>
        <v>Atender las solicitudes de pruebas de los despachos judiciales o terceros intervinientes en el proceso judicial</v>
      </c>
      <c r="BT127" s="195">
        <f t="shared" si="30"/>
        <v>0</v>
      </c>
      <c r="BU127" s="196"/>
      <c r="BV127" s="196"/>
      <c r="BW127" s="196"/>
      <c r="BX127" s="196"/>
      <c r="BY127" s="196"/>
      <c r="BZ127" s="19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99.75" x14ac:dyDescent="0.25">
      <c r="A128" s="197">
        <v>11900</v>
      </c>
      <c r="B128" s="194" t="s">
        <v>349</v>
      </c>
      <c r="C128" s="198" t="s">
        <v>357</v>
      </c>
      <c r="D128" s="194" t="s">
        <v>146</v>
      </c>
      <c r="E128" s="198" t="s">
        <v>439</v>
      </c>
      <c r="F128" s="194" t="s">
        <v>715</v>
      </c>
      <c r="G128" s="209" t="s">
        <v>123</v>
      </c>
      <c r="H128" s="216">
        <v>1</v>
      </c>
      <c r="I128" s="198" t="s">
        <v>462</v>
      </c>
      <c r="J128" s="194" t="s">
        <v>691</v>
      </c>
      <c r="K128" s="1329"/>
      <c r="L128" s="1330"/>
      <c r="M128" s="194" t="s">
        <v>46</v>
      </c>
      <c r="N128" s="194" t="s">
        <v>74</v>
      </c>
      <c r="O128" s="194" t="s">
        <v>21</v>
      </c>
      <c r="P128" s="194" t="s">
        <v>36</v>
      </c>
      <c r="Q128" s="194" t="s">
        <v>229</v>
      </c>
      <c r="R128" s="194" t="s">
        <v>442</v>
      </c>
      <c r="S128" s="194" t="s">
        <v>99</v>
      </c>
      <c r="T128" s="211">
        <v>1</v>
      </c>
      <c r="U128" s="212" t="str">
        <f t="shared" si="43"/>
        <v>Fichas técnicas de conciliaciones prejudiciales presentadas a consideración del Comité de Conciliación</v>
      </c>
      <c r="V128" s="213">
        <f t="shared" si="43"/>
        <v>0</v>
      </c>
      <c r="W128" s="222" t="s">
        <v>114</v>
      </c>
      <c r="X128" s="216">
        <v>0.25</v>
      </c>
      <c r="Y128" s="214" t="s">
        <v>691</v>
      </c>
      <c r="Z128" s="210">
        <v>0</v>
      </c>
      <c r="AA128" s="196"/>
      <c r="AB128" s="196"/>
      <c r="AC128" s="204">
        <f t="shared" si="44"/>
        <v>0</v>
      </c>
      <c r="AD128" s="204" t="e">
        <f t="shared" si="45"/>
        <v>#DIV/0!</v>
      </c>
      <c r="AE128" s="204">
        <f t="shared" si="31"/>
        <v>0</v>
      </c>
      <c r="AF128" s="204" t="e">
        <f t="shared" si="32"/>
        <v>#DIV/0!</v>
      </c>
      <c r="AG128" s="216">
        <v>0.25</v>
      </c>
      <c r="AH128" s="214" t="s">
        <v>691</v>
      </c>
      <c r="AI128" s="210">
        <v>0</v>
      </c>
      <c r="AJ128" s="196"/>
      <c r="AK128" s="196"/>
      <c r="AL128" s="204">
        <f t="shared" si="46"/>
        <v>0</v>
      </c>
      <c r="AM128" s="204" t="e">
        <f t="shared" si="33"/>
        <v>#DIV/0!</v>
      </c>
      <c r="AN128" s="204">
        <f t="shared" si="34"/>
        <v>0</v>
      </c>
      <c r="AO128" s="204" t="e">
        <f t="shared" si="35"/>
        <v>#DIV/0!</v>
      </c>
      <c r="AP128" s="216">
        <v>0.25</v>
      </c>
      <c r="AQ128" s="214" t="s">
        <v>691</v>
      </c>
      <c r="AR128" s="210">
        <v>0</v>
      </c>
      <c r="AS128" s="196"/>
      <c r="AT128" s="196"/>
      <c r="AU128" s="204">
        <f t="shared" si="47"/>
        <v>0</v>
      </c>
      <c r="AV128" s="204" t="e">
        <f t="shared" si="48"/>
        <v>#DIV/0!</v>
      </c>
      <c r="AW128" s="204">
        <f t="shared" si="49"/>
        <v>0</v>
      </c>
      <c r="AX128" s="204" t="e">
        <f t="shared" si="50"/>
        <v>#DIV/0!</v>
      </c>
      <c r="AY128" s="216">
        <v>0.25</v>
      </c>
      <c r="AZ128" s="214" t="s">
        <v>691</v>
      </c>
      <c r="BA128" s="210">
        <v>0</v>
      </c>
      <c r="BB128" s="196"/>
      <c r="BC128" s="196"/>
      <c r="BD128" s="216">
        <f t="shared" si="51"/>
        <v>0</v>
      </c>
      <c r="BE128" s="216" t="e">
        <f t="shared" si="52"/>
        <v>#DIV/0!</v>
      </c>
      <c r="BF128" s="216">
        <f t="shared" si="53"/>
        <v>0</v>
      </c>
      <c r="BG128" s="216" t="e">
        <f t="shared" si="54"/>
        <v>#DIV/0!</v>
      </c>
      <c r="BH128" s="228">
        <f t="shared" si="36"/>
        <v>0</v>
      </c>
      <c r="BI128" s="228" t="str">
        <f t="shared" si="37"/>
        <v>No Prog ni Ejec</v>
      </c>
      <c r="BJ128" s="228">
        <f t="shared" si="38"/>
        <v>0</v>
      </c>
      <c r="BK128" s="228" t="str">
        <f t="shared" si="39"/>
        <v>No Prog ni Ejec</v>
      </c>
      <c r="BL128" s="228">
        <f t="shared" si="55"/>
        <v>0</v>
      </c>
      <c r="BM128" s="228" t="str">
        <f t="shared" si="56"/>
        <v>No Prog ni Ejec</v>
      </c>
      <c r="BN128" s="228">
        <f t="shared" si="40"/>
        <v>0</v>
      </c>
      <c r="BO128" s="228" t="str">
        <f t="shared" si="41"/>
        <v>No Prog ni Ejec</v>
      </c>
      <c r="BP128" s="206"/>
      <c r="BQ128" s="277">
        <v>32</v>
      </c>
      <c r="BR128" s="208">
        <f t="shared" si="42"/>
        <v>0.58333333333333337</v>
      </c>
      <c r="BS128" s="219" t="str">
        <f t="shared" si="57"/>
        <v>Fichas técnicas de conciliaciones prejudiciales presentadas a consideración del Comité de Conciliación</v>
      </c>
      <c r="BT128" s="195">
        <f t="shared" si="30"/>
        <v>0</v>
      </c>
      <c r="BU128" s="196"/>
      <c r="BV128" s="196"/>
      <c r="BW128" s="196"/>
      <c r="BX128" s="196"/>
      <c r="BY128" s="196"/>
      <c r="BZ128" s="19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99.75" x14ac:dyDescent="0.25">
      <c r="A129" s="197">
        <v>11900</v>
      </c>
      <c r="B129" s="194" t="s">
        <v>349</v>
      </c>
      <c r="C129" s="198" t="s">
        <v>357</v>
      </c>
      <c r="D129" s="194" t="s">
        <v>146</v>
      </c>
      <c r="E129" s="198" t="s">
        <v>439</v>
      </c>
      <c r="F129" s="194" t="s">
        <v>715</v>
      </c>
      <c r="G129" s="209" t="s">
        <v>123</v>
      </c>
      <c r="H129" s="216">
        <v>1</v>
      </c>
      <c r="I129" s="198" t="s">
        <v>718</v>
      </c>
      <c r="J129" s="194" t="s">
        <v>444</v>
      </c>
      <c r="K129" s="1329"/>
      <c r="L129" s="1330"/>
      <c r="M129" s="194" t="s">
        <v>46</v>
      </c>
      <c r="N129" s="194" t="s">
        <v>74</v>
      </c>
      <c r="O129" s="194" t="s">
        <v>21</v>
      </c>
      <c r="P129" s="194" t="s">
        <v>36</v>
      </c>
      <c r="Q129" s="194" t="s">
        <v>229</v>
      </c>
      <c r="R129" s="194" t="s">
        <v>694</v>
      </c>
      <c r="S129" s="194" t="s">
        <v>99</v>
      </c>
      <c r="T129" s="211">
        <v>1</v>
      </c>
      <c r="U129" s="212" t="str">
        <f t="shared" si="43"/>
        <v>Presentación de fichas técnicas de demandas ordinarias laborales  presentadas al Comité de Conciliación</v>
      </c>
      <c r="V129" s="213">
        <f t="shared" si="43"/>
        <v>0</v>
      </c>
      <c r="W129" s="222" t="s">
        <v>114</v>
      </c>
      <c r="X129" s="216">
        <v>0.25</v>
      </c>
      <c r="Y129" s="214" t="s">
        <v>444</v>
      </c>
      <c r="Z129" s="210">
        <v>0</v>
      </c>
      <c r="AA129" s="196"/>
      <c r="AB129" s="196"/>
      <c r="AC129" s="204">
        <f t="shared" si="44"/>
        <v>0</v>
      </c>
      <c r="AD129" s="204" t="e">
        <f t="shared" si="45"/>
        <v>#DIV/0!</v>
      </c>
      <c r="AE129" s="204">
        <f t="shared" si="31"/>
        <v>0</v>
      </c>
      <c r="AF129" s="204" t="e">
        <f t="shared" si="32"/>
        <v>#DIV/0!</v>
      </c>
      <c r="AG129" s="216">
        <v>0.25</v>
      </c>
      <c r="AH129" s="214" t="s">
        <v>444</v>
      </c>
      <c r="AI129" s="210">
        <v>0</v>
      </c>
      <c r="AJ129" s="196"/>
      <c r="AK129" s="196"/>
      <c r="AL129" s="204">
        <f t="shared" si="46"/>
        <v>0</v>
      </c>
      <c r="AM129" s="204" t="e">
        <f t="shared" si="33"/>
        <v>#DIV/0!</v>
      </c>
      <c r="AN129" s="204">
        <f t="shared" si="34"/>
        <v>0</v>
      </c>
      <c r="AO129" s="204" t="e">
        <f t="shared" si="35"/>
        <v>#DIV/0!</v>
      </c>
      <c r="AP129" s="216">
        <v>0.25</v>
      </c>
      <c r="AQ129" s="214" t="s">
        <v>444</v>
      </c>
      <c r="AR129" s="210">
        <v>0</v>
      </c>
      <c r="AS129" s="196"/>
      <c r="AT129" s="196"/>
      <c r="AU129" s="204">
        <f t="shared" si="47"/>
        <v>0</v>
      </c>
      <c r="AV129" s="204" t="e">
        <f t="shared" si="48"/>
        <v>#DIV/0!</v>
      </c>
      <c r="AW129" s="204">
        <f t="shared" si="49"/>
        <v>0</v>
      </c>
      <c r="AX129" s="204" t="e">
        <f t="shared" si="50"/>
        <v>#DIV/0!</v>
      </c>
      <c r="AY129" s="216">
        <v>0.25</v>
      </c>
      <c r="AZ129" s="214" t="s">
        <v>444</v>
      </c>
      <c r="BA129" s="210">
        <v>0</v>
      </c>
      <c r="BB129" s="196"/>
      <c r="BC129" s="196"/>
      <c r="BD129" s="216">
        <f t="shared" si="51"/>
        <v>0</v>
      </c>
      <c r="BE129" s="216" t="e">
        <f t="shared" si="52"/>
        <v>#DIV/0!</v>
      </c>
      <c r="BF129" s="216">
        <f t="shared" si="53"/>
        <v>0</v>
      </c>
      <c r="BG129" s="216" t="e">
        <f t="shared" si="54"/>
        <v>#DIV/0!</v>
      </c>
      <c r="BH129" s="228">
        <f t="shared" si="36"/>
        <v>0</v>
      </c>
      <c r="BI129" s="228" t="str">
        <f t="shared" si="37"/>
        <v>No Prog ni Ejec</v>
      </c>
      <c r="BJ129" s="228">
        <f t="shared" si="38"/>
        <v>0</v>
      </c>
      <c r="BK129" s="228" t="str">
        <f t="shared" si="39"/>
        <v>No Prog ni Ejec</v>
      </c>
      <c r="BL129" s="228">
        <f t="shared" si="55"/>
        <v>0</v>
      </c>
      <c r="BM129" s="228" t="str">
        <f t="shared" si="56"/>
        <v>No Prog ni Ejec</v>
      </c>
      <c r="BN129" s="228">
        <f t="shared" si="40"/>
        <v>0</v>
      </c>
      <c r="BO129" s="228" t="str">
        <f t="shared" si="41"/>
        <v>No Prog ni Ejec</v>
      </c>
      <c r="BP129" s="206"/>
      <c r="BQ129" s="277">
        <v>32</v>
      </c>
      <c r="BR129" s="208">
        <f t="shared" si="42"/>
        <v>0.58333333333333337</v>
      </c>
      <c r="BS129" s="219" t="str">
        <f t="shared" si="57"/>
        <v>Presentación de fichas técnicas de demandas ordinarias laborales  presentadas al Comité de Conciliación</v>
      </c>
      <c r="BT129" s="195">
        <f t="shared" si="30"/>
        <v>0</v>
      </c>
      <c r="BU129" s="196"/>
      <c r="BV129" s="196"/>
      <c r="BW129" s="196"/>
      <c r="BX129" s="196"/>
      <c r="BY129" s="196"/>
      <c r="BZ129" s="19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4" x14ac:dyDescent="0.25">
      <c r="A130" s="197">
        <v>11900</v>
      </c>
      <c r="B130" s="194" t="s">
        <v>349</v>
      </c>
      <c r="C130" s="198" t="s">
        <v>357</v>
      </c>
      <c r="D130" s="194" t="s">
        <v>146</v>
      </c>
      <c r="E130" s="198" t="s">
        <v>373</v>
      </c>
      <c r="F130" s="194" t="s">
        <v>364</v>
      </c>
      <c r="G130" s="209" t="s">
        <v>123</v>
      </c>
      <c r="H130" s="216">
        <v>1</v>
      </c>
      <c r="I130" s="198" t="s">
        <v>460</v>
      </c>
      <c r="J130" s="194" t="s">
        <v>368</v>
      </c>
      <c r="K130" s="1329">
        <v>151084884</v>
      </c>
      <c r="L130" s="1330">
        <v>1</v>
      </c>
      <c r="M130" s="194" t="s">
        <v>46</v>
      </c>
      <c r="N130" s="194" t="s">
        <v>74</v>
      </c>
      <c r="O130" s="194" t="s">
        <v>21</v>
      </c>
      <c r="P130" s="194" t="s">
        <v>36</v>
      </c>
      <c r="Q130" s="194" t="s">
        <v>229</v>
      </c>
      <c r="R130" s="194" t="s">
        <v>695</v>
      </c>
      <c r="S130" s="194" t="s">
        <v>99</v>
      </c>
      <c r="T130" s="211">
        <v>1</v>
      </c>
      <c r="U130" s="212" t="str">
        <f t="shared" si="43"/>
        <v>Dar respuesta a las reclamaciones administrativas radicadas por las EPS o IPS dentro del término legal</v>
      </c>
      <c r="V130" s="213">
        <f t="shared" si="43"/>
        <v>151084884</v>
      </c>
      <c r="W130" s="222" t="s">
        <v>114</v>
      </c>
      <c r="X130" s="281">
        <v>0.25</v>
      </c>
      <c r="Y130" s="282" t="s">
        <v>368</v>
      </c>
      <c r="Z130" s="283">
        <f>+X130*V130</f>
        <v>37771221</v>
      </c>
      <c r="AA130" s="279"/>
      <c r="AB130" s="279"/>
      <c r="AC130" s="280">
        <f t="shared" si="44"/>
        <v>0</v>
      </c>
      <c r="AD130" s="280">
        <f t="shared" si="45"/>
        <v>0</v>
      </c>
      <c r="AE130" s="280">
        <f t="shared" si="31"/>
        <v>0</v>
      </c>
      <c r="AF130" s="280">
        <f t="shared" si="32"/>
        <v>0</v>
      </c>
      <c r="AG130" s="281">
        <v>0.25</v>
      </c>
      <c r="AH130" s="282" t="s">
        <v>368</v>
      </c>
      <c r="AI130" s="283">
        <v>37771221</v>
      </c>
      <c r="AJ130" s="279"/>
      <c r="AK130" s="279"/>
      <c r="AL130" s="280">
        <f t="shared" si="46"/>
        <v>0</v>
      </c>
      <c r="AM130" s="280">
        <f t="shared" si="33"/>
        <v>0</v>
      </c>
      <c r="AN130" s="280">
        <f t="shared" si="34"/>
        <v>0</v>
      </c>
      <c r="AO130" s="280">
        <f t="shared" si="35"/>
        <v>0</v>
      </c>
      <c r="AP130" s="281">
        <v>0.25</v>
      </c>
      <c r="AQ130" s="282" t="s">
        <v>368</v>
      </c>
      <c r="AR130" s="283">
        <v>37771221</v>
      </c>
      <c r="AS130" s="279"/>
      <c r="AT130" s="279"/>
      <c r="AU130" s="280">
        <f t="shared" si="47"/>
        <v>0</v>
      </c>
      <c r="AV130" s="280">
        <f t="shared" si="48"/>
        <v>0</v>
      </c>
      <c r="AW130" s="280">
        <f t="shared" si="49"/>
        <v>0</v>
      </c>
      <c r="AX130" s="280">
        <f t="shared" si="50"/>
        <v>0</v>
      </c>
      <c r="AY130" s="281">
        <v>0.25</v>
      </c>
      <c r="AZ130" s="282" t="s">
        <v>368</v>
      </c>
      <c r="BA130" s="283">
        <v>37771221</v>
      </c>
      <c r="BB130" s="279"/>
      <c r="BC130" s="279"/>
      <c r="BD130" s="281">
        <f t="shared" si="51"/>
        <v>0</v>
      </c>
      <c r="BE130" s="281">
        <f t="shared" si="52"/>
        <v>0</v>
      </c>
      <c r="BF130" s="281">
        <f t="shared" si="53"/>
        <v>0</v>
      </c>
      <c r="BG130" s="281">
        <f t="shared" si="54"/>
        <v>0</v>
      </c>
      <c r="BH130" s="205">
        <f t="shared" si="36"/>
        <v>0</v>
      </c>
      <c r="BI130" s="205">
        <f t="shared" si="37"/>
        <v>0</v>
      </c>
      <c r="BJ130" s="205">
        <f t="shared" si="38"/>
        <v>0</v>
      </c>
      <c r="BK130" s="205">
        <f t="shared" si="39"/>
        <v>0</v>
      </c>
      <c r="BL130" s="205">
        <f t="shared" si="55"/>
        <v>0</v>
      </c>
      <c r="BM130" s="205">
        <f t="shared" si="56"/>
        <v>0</v>
      </c>
      <c r="BN130" s="205">
        <f t="shared" si="40"/>
        <v>0</v>
      </c>
      <c r="BO130" s="205">
        <f t="shared" si="41"/>
        <v>0</v>
      </c>
      <c r="BP130" s="206"/>
      <c r="BQ130" s="277">
        <v>32</v>
      </c>
      <c r="BR130" s="208">
        <f t="shared" si="42"/>
        <v>0.58333333333333337</v>
      </c>
      <c r="BS130" s="219" t="str">
        <f t="shared" si="57"/>
        <v>Dar respuesta a las reclamaciones administrativas radicadas por las EPS o IPS dentro del término legal</v>
      </c>
      <c r="BT130" s="195">
        <f t="shared" si="30"/>
        <v>88132849</v>
      </c>
      <c r="BU130" s="196"/>
      <c r="BV130" s="196"/>
      <c r="BW130" s="196"/>
      <c r="BX130" s="196"/>
      <c r="BY130" s="196"/>
      <c r="BZ130" s="19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4" x14ac:dyDescent="0.25">
      <c r="A131" s="197">
        <v>11900</v>
      </c>
      <c r="B131" s="194" t="s">
        <v>349</v>
      </c>
      <c r="C131" s="198" t="s">
        <v>357</v>
      </c>
      <c r="D131" s="194" t="s">
        <v>146</v>
      </c>
      <c r="E131" s="198" t="s">
        <v>435</v>
      </c>
      <c r="F131" s="194" t="s">
        <v>365</v>
      </c>
      <c r="G131" s="209" t="s">
        <v>123</v>
      </c>
      <c r="H131" s="216">
        <v>1</v>
      </c>
      <c r="I131" s="198" t="s">
        <v>461</v>
      </c>
      <c r="J131" s="194" t="s">
        <v>369</v>
      </c>
      <c r="K131" s="1329"/>
      <c r="L131" s="1330"/>
      <c r="M131" s="194" t="s">
        <v>46</v>
      </c>
      <c r="N131" s="194" t="s">
        <v>74</v>
      </c>
      <c r="O131" s="194" t="s">
        <v>21</v>
      </c>
      <c r="P131" s="194" t="s">
        <v>36</v>
      </c>
      <c r="Q131" s="194" t="s">
        <v>229</v>
      </c>
      <c r="R131" s="194" t="s">
        <v>696</v>
      </c>
      <c r="S131" s="194" t="s">
        <v>99</v>
      </c>
      <c r="T131" s="211">
        <v>1</v>
      </c>
      <c r="U131" s="212" t="str">
        <f t="shared" si="43"/>
        <v>Interponer oportunamente los recursos de Ley contra los actos administrativos de Colpensiones que ordenan la devolución de aportes al extinto FOYSGA, hoy Administradora de los Recursos del Sistema General de Seguridad Social en Salud - ADRES</v>
      </c>
      <c r="V131" s="213">
        <f t="shared" si="43"/>
        <v>0</v>
      </c>
      <c r="W131" s="222" t="s">
        <v>114</v>
      </c>
      <c r="X131" s="216">
        <v>0.25</v>
      </c>
      <c r="Y131" s="214" t="s">
        <v>369</v>
      </c>
      <c r="Z131" s="210">
        <v>0</v>
      </c>
      <c r="AA131" s="196"/>
      <c r="AB131" s="196"/>
      <c r="AC131" s="204">
        <f t="shared" si="44"/>
        <v>0</v>
      </c>
      <c r="AD131" s="204" t="e">
        <f t="shared" si="45"/>
        <v>#DIV/0!</v>
      </c>
      <c r="AE131" s="204">
        <f t="shared" si="31"/>
        <v>0</v>
      </c>
      <c r="AF131" s="204" t="e">
        <f t="shared" si="32"/>
        <v>#DIV/0!</v>
      </c>
      <c r="AG131" s="216">
        <v>0.25</v>
      </c>
      <c r="AH131" s="214" t="s">
        <v>369</v>
      </c>
      <c r="AI131" s="210">
        <v>0</v>
      </c>
      <c r="AJ131" s="196"/>
      <c r="AK131" s="196"/>
      <c r="AL131" s="204">
        <f t="shared" si="46"/>
        <v>0</v>
      </c>
      <c r="AM131" s="204" t="e">
        <f t="shared" si="33"/>
        <v>#DIV/0!</v>
      </c>
      <c r="AN131" s="204">
        <f t="shared" si="34"/>
        <v>0</v>
      </c>
      <c r="AO131" s="204" t="e">
        <f t="shared" si="35"/>
        <v>#DIV/0!</v>
      </c>
      <c r="AP131" s="216">
        <v>0.25</v>
      </c>
      <c r="AQ131" s="214" t="s">
        <v>369</v>
      </c>
      <c r="AR131" s="210">
        <v>0</v>
      </c>
      <c r="AS131" s="196"/>
      <c r="AT131" s="196"/>
      <c r="AU131" s="204">
        <f t="shared" si="47"/>
        <v>0</v>
      </c>
      <c r="AV131" s="204" t="e">
        <f t="shared" si="48"/>
        <v>#DIV/0!</v>
      </c>
      <c r="AW131" s="204">
        <f t="shared" si="49"/>
        <v>0</v>
      </c>
      <c r="AX131" s="204" t="e">
        <f t="shared" si="50"/>
        <v>#DIV/0!</v>
      </c>
      <c r="AY131" s="216">
        <v>0.25</v>
      </c>
      <c r="AZ131" s="214" t="s">
        <v>369</v>
      </c>
      <c r="BA131" s="210">
        <v>0</v>
      </c>
      <c r="BB131" s="196"/>
      <c r="BC131" s="196"/>
      <c r="BD131" s="216">
        <f t="shared" si="51"/>
        <v>0</v>
      </c>
      <c r="BE131" s="216" t="e">
        <f t="shared" si="52"/>
        <v>#DIV/0!</v>
      </c>
      <c r="BF131" s="216">
        <f t="shared" si="53"/>
        <v>0</v>
      </c>
      <c r="BG131" s="216" t="e">
        <f t="shared" si="54"/>
        <v>#DIV/0!</v>
      </c>
      <c r="BH131" s="228">
        <f t="shared" si="36"/>
        <v>0</v>
      </c>
      <c r="BI131" s="228" t="str">
        <f t="shared" si="37"/>
        <v>No Prog ni Ejec</v>
      </c>
      <c r="BJ131" s="228">
        <f t="shared" si="38"/>
        <v>0</v>
      </c>
      <c r="BK131" s="228" t="str">
        <f t="shared" si="39"/>
        <v>No Prog ni Ejec</v>
      </c>
      <c r="BL131" s="228">
        <f t="shared" si="55"/>
        <v>0</v>
      </c>
      <c r="BM131" s="228" t="str">
        <f t="shared" si="56"/>
        <v>No Prog ni Ejec</v>
      </c>
      <c r="BN131" s="228">
        <f t="shared" si="40"/>
        <v>0</v>
      </c>
      <c r="BO131" s="228" t="str">
        <f t="shared" si="41"/>
        <v>No Prog ni Ejec</v>
      </c>
      <c r="BP131" s="206"/>
      <c r="BQ131" s="277">
        <v>32</v>
      </c>
      <c r="BR131" s="208">
        <f t="shared" si="42"/>
        <v>0.58333333333333337</v>
      </c>
      <c r="BS131" s="219" t="str">
        <f t="shared" si="57"/>
        <v>Interponer oportunamente los recursos de Ley contra los actos administrativos de Colpensiones que ordenan la devolución de aportes al extinto FOYSGA, hoy Administradora de los Recursos del Sistema General de Seguridad Social en Salud - ADRES</v>
      </c>
      <c r="BT131" s="195">
        <f t="shared" si="30"/>
        <v>0</v>
      </c>
      <c r="BU131" s="196"/>
      <c r="BV131" s="196"/>
      <c r="BW131" s="196"/>
      <c r="BX131" s="196"/>
      <c r="BY131" s="196"/>
      <c r="BZ131" s="19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71.25" x14ac:dyDescent="0.25">
      <c r="A132" s="197">
        <v>11900</v>
      </c>
      <c r="B132" s="194" t="s">
        <v>349</v>
      </c>
      <c r="C132" s="198" t="s">
        <v>357</v>
      </c>
      <c r="D132" s="194" t="s">
        <v>146</v>
      </c>
      <c r="E132" s="198" t="s">
        <v>443</v>
      </c>
      <c r="F132" s="194" t="s">
        <v>568</v>
      </c>
      <c r="G132" s="209" t="s">
        <v>123</v>
      </c>
      <c r="H132" s="216">
        <v>1</v>
      </c>
      <c r="I132" s="198" t="s">
        <v>548</v>
      </c>
      <c r="J132" s="194" t="s">
        <v>697</v>
      </c>
      <c r="K132" s="1329"/>
      <c r="L132" s="1330"/>
      <c r="M132" s="194" t="s">
        <v>46</v>
      </c>
      <c r="N132" s="194" t="s">
        <v>74</v>
      </c>
      <c r="O132" s="194" t="s">
        <v>21</v>
      </c>
      <c r="P132" s="194" t="s">
        <v>36</v>
      </c>
      <c r="Q132" s="194" t="s">
        <v>229</v>
      </c>
      <c r="R132" s="194" t="s">
        <v>698</v>
      </c>
      <c r="S132" s="194" t="s">
        <v>99</v>
      </c>
      <c r="T132" s="211">
        <v>1</v>
      </c>
      <c r="U132" s="212" t="str">
        <f t="shared" si="43"/>
        <v xml:space="preserve">Solicitudes de embargos </v>
      </c>
      <c r="V132" s="213">
        <f t="shared" si="43"/>
        <v>0</v>
      </c>
      <c r="W132" s="222" t="s">
        <v>114</v>
      </c>
      <c r="X132" s="216">
        <v>0.25</v>
      </c>
      <c r="Y132" s="214" t="s">
        <v>697</v>
      </c>
      <c r="Z132" s="210">
        <v>0</v>
      </c>
      <c r="AA132" s="196"/>
      <c r="AB132" s="196"/>
      <c r="AC132" s="204">
        <f t="shared" si="44"/>
        <v>0</v>
      </c>
      <c r="AD132" s="204" t="e">
        <f t="shared" si="45"/>
        <v>#DIV/0!</v>
      </c>
      <c r="AE132" s="204">
        <f t="shared" si="31"/>
        <v>0</v>
      </c>
      <c r="AF132" s="204" t="e">
        <f t="shared" si="32"/>
        <v>#DIV/0!</v>
      </c>
      <c r="AG132" s="216">
        <v>0.25</v>
      </c>
      <c r="AH132" s="214" t="s">
        <v>697</v>
      </c>
      <c r="AI132" s="210">
        <v>0</v>
      </c>
      <c r="AJ132" s="196"/>
      <c r="AK132" s="196"/>
      <c r="AL132" s="204">
        <f t="shared" si="46"/>
        <v>0</v>
      </c>
      <c r="AM132" s="204" t="e">
        <f t="shared" si="33"/>
        <v>#DIV/0!</v>
      </c>
      <c r="AN132" s="204">
        <f t="shared" si="34"/>
        <v>0</v>
      </c>
      <c r="AO132" s="204" t="e">
        <f t="shared" si="35"/>
        <v>#DIV/0!</v>
      </c>
      <c r="AP132" s="216">
        <v>0.25</v>
      </c>
      <c r="AQ132" s="214" t="s">
        <v>697</v>
      </c>
      <c r="AR132" s="210">
        <v>0</v>
      </c>
      <c r="AS132" s="196"/>
      <c r="AT132" s="196"/>
      <c r="AU132" s="204">
        <f t="shared" si="47"/>
        <v>0</v>
      </c>
      <c r="AV132" s="204" t="e">
        <f t="shared" si="48"/>
        <v>#DIV/0!</v>
      </c>
      <c r="AW132" s="204">
        <f t="shared" si="49"/>
        <v>0</v>
      </c>
      <c r="AX132" s="204" t="e">
        <f t="shared" si="50"/>
        <v>#DIV/0!</v>
      </c>
      <c r="AY132" s="216">
        <v>0.25</v>
      </c>
      <c r="AZ132" s="214" t="s">
        <v>697</v>
      </c>
      <c r="BA132" s="210">
        <v>0</v>
      </c>
      <c r="BB132" s="196"/>
      <c r="BC132" s="196"/>
      <c r="BD132" s="216">
        <f t="shared" si="51"/>
        <v>0</v>
      </c>
      <c r="BE132" s="216" t="e">
        <f t="shared" si="52"/>
        <v>#DIV/0!</v>
      </c>
      <c r="BF132" s="216">
        <f t="shared" si="53"/>
        <v>0</v>
      </c>
      <c r="BG132" s="216" t="e">
        <f t="shared" si="54"/>
        <v>#DIV/0!</v>
      </c>
      <c r="BH132" s="228">
        <f t="shared" si="36"/>
        <v>0</v>
      </c>
      <c r="BI132" s="228" t="str">
        <f t="shared" si="37"/>
        <v>No Prog ni Ejec</v>
      </c>
      <c r="BJ132" s="228">
        <f t="shared" si="38"/>
        <v>0</v>
      </c>
      <c r="BK132" s="228" t="str">
        <f t="shared" si="39"/>
        <v>No Prog ni Ejec</v>
      </c>
      <c r="BL132" s="228">
        <f t="shared" si="55"/>
        <v>0</v>
      </c>
      <c r="BM132" s="228" t="str">
        <f t="shared" si="56"/>
        <v>No Prog ni Ejec</v>
      </c>
      <c r="BN132" s="228">
        <f t="shared" si="40"/>
        <v>0</v>
      </c>
      <c r="BO132" s="228" t="str">
        <f t="shared" si="41"/>
        <v>No Prog ni Ejec</v>
      </c>
      <c r="BP132" s="206"/>
      <c r="BQ132" s="277">
        <v>32</v>
      </c>
      <c r="BR132" s="208">
        <f t="shared" si="42"/>
        <v>0.58333333333333337</v>
      </c>
      <c r="BS132" s="219" t="str">
        <f t="shared" si="57"/>
        <v xml:space="preserve">Solicitudes de embargos </v>
      </c>
      <c r="BT132" s="195">
        <f t="shared" si="30"/>
        <v>0</v>
      </c>
      <c r="BU132" s="196"/>
      <c r="BV132" s="196"/>
      <c r="BW132" s="196"/>
      <c r="BX132" s="196"/>
      <c r="BY132" s="196"/>
      <c r="BZ132" s="19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7" x14ac:dyDescent="0.25">
      <c r="A133" s="197">
        <v>11900</v>
      </c>
      <c r="B133" s="194" t="s">
        <v>349</v>
      </c>
      <c r="C133" s="198" t="s">
        <v>357</v>
      </c>
      <c r="D133" s="194" t="s">
        <v>146</v>
      </c>
      <c r="E133" s="198" t="s">
        <v>447</v>
      </c>
      <c r="F133" s="194" t="s">
        <v>448</v>
      </c>
      <c r="G133" s="209" t="s">
        <v>123</v>
      </c>
      <c r="H133" s="216">
        <v>1</v>
      </c>
      <c r="I133" s="198" t="s">
        <v>463</v>
      </c>
      <c r="J133" s="194" t="s">
        <v>551</v>
      </c>
      <c r="K133" s="210">
        <v>590922272</v>
      </c>
      <c r="L133" s="211">
        <v>1</v>
      </c>
      <c r="M133" s="194" t="s">
        <v>46</v>
      </c>
      <c r="N133" s="194" t="s">
        <v>74</v>
      </c>
      <c r="O133" s="194" t="s">
        <v>21</v>
      </c>
      <c r="P133" s="194" t="s">
        <v>36</v>
      </c>
      <c r="Q133" s="194" t="s">
        <v>229</v>
      </c>
      <c r="R133" s="194" t="s">
        <v>765</v>
      </c>
      <c r="S133" s="194" t="s">
        <v>99</v>
      </c>
      <c r="T133" s="211">
        <v>1</v>
      </c>
      <c r="U133" s="212" t="str">
        <f t="shared" si="43"/>
        <v>Conceptos</v>
      </c>
      <c r="V133" s="213">
        <f t="shared" si="43"/>
        <v>590922272</v>
      </c>
      <c r="W133" s="222" t="s">
        <v>114</v>
      </c>
      <c r="X133" s="216">
        <v>0.25</v>
      </c>
      <c r="Y133" s="214" t="s">
        <v>444</v>
      </c>
      <c r="Z133" s="210">
        <f>+V133*X133</f>
        <v>147730568</v>
      </c>
      <c r="AA133" s="196"/>
      <c r="AB133" s="196"/>
      <c r="AC133" s="204">
        <f t="shared" si="44"/>
        <v>0</v>
      </c>
      <c r="AD133" s="204">
        <f t="shared" si="45"/>
        <v>0</v>
      </c>
      <c r="AE133" s="204">
        <f t="shared" si="31"/>
        <v>0</v>
      </c>
      <c r="AF133" s="204">
        <f t="shared" si="32"/>
        <v>0</v>
      </c>
      <c r="AG133" s="216">
        <v>0.25</v>
      </c>
      <c r="AH133" s="214" t="s">
        <v>444</v>
      </c>
      <c r="AI133" s="210">
        <v>147730568</v>
      </c>
      <c r="AJ133" s="196"/>
      <c r="AK133" s="196"/>
      <c r="AL133" s="204">
        <f t="shared" si="46"/>
        <v>0</v>
      </c>
      <c r="AM133" s="204">
        <f t="shared" si="33"/>
        <v>0</v>
      </c>
      <c r="AN133" s="204">
        <f t="shared" si="34"/>
        <v>0</v>
      </c>
      <c r="AO133" s="204">
        <f t="shared" si="35"/>
        <v>0</v>
      </c>
      <c r="AP133" s="216">
        <v>0.25</v>
      </c>
      <c r="AQ133" s="214" t="s">
        <v>444</v>
      </c>
      <c r="AR133" s="210">
        <v>147730568</v>
      </c>
      <c r="AS133" s="196"/>
      <c r="AT133" s="196"/>
      <c r="AU133" s="204">
        <f t="shared" si="47"/>
        <v>0</v>
      </c>
      <c r="AV133" s="204">
        <f t="shared" si="48"/>
        <v>0</v>
      </c>
      <c r="AW133" s="204">
        <f t="shared" si="49"/>
        <v>0</v>
      </c>
      <c r="AX133" s="204">
        <f t="shared" si="50"/>
        <v>0</v>
      </c>
      <c r="AY133" s="216">
        <v>0.25</v>
      </c>
      <c r="AZ133" s="214" t="s">
        <v>444</v>
      </c>
      <c r="BA133" s="210">
        <v>147730568</v>
      </c>
      <c r="BB133" s="196"/>
      <c r="BC133" s="196"/>
      <c r="BD133" s="216">
        <f t="shared" si="51"/>
        <v>0</v>
      </c>
      <c r="BE133" s="216">
        <f t="shared" si="52"/>
        <v>0</v>
      </c>
      <c r="BF133" s="216">
        <f t="shared" si="53"/>
        <v>0</v>
      </c>
      <c r="BG133" s="216">
        <f t="shared" si="54"/>
        <v>0</v>
      </c>
      <c r="BH133" s="228">
        <f t="shared" si="36"/>
        <v>0</v>
      </c>
      <c r="BI133" s="228">
        <f t="shared" si="37"/>
        <v>0</v>
      </c>
      <c r="BJ133" s="228">
        <f t="shared" si="38"/>
        <v>0</v>
      </c>
      <c r="BK133" s="228">
        <f t="shared" si="39"/>
        <v>0</v>
      </c>
      <c r="BL133" s="228">
        <f t="shared" si="55"/>
        <v>0</v>
      </c>
      <c r="BM133" s="228">
        <f t="shared" si="56"/>
        <v>0</v>
      </c>
      <c r="BN133" s="228">
        <f t="shared" si="40"/>
        <v>0</v>
      </c>
      <c r="BO133" s="228">
        <f t="shared" si="41"/>
        <v>0</v>
      </c>
      <c r="BP133" s="206"/>
      <c r="BQ133" s="277">
        <v>32</v>
      </c>
      <c r="BR133" s="208">
        <f t="shared" si="42"/>
        <v>0.58333333333333337</v>
      </c>
      <c r="BS133" s="219" t="str">
        <f t="shared" si="57"/>
        <v>Conceptos</v>
      </c>
      <c r="BT133" s="195">
        <f t="shared" si="30"/>
        <v>344704658.66666669</v>
      </c>
      <c r="BU133" s="196"/>
      <c r="BV133" s="196"/>
      <c r="BW133" s="196"/>
      <c r="BX133" s="196"/>
      <c r="BY133" s="196"/>
      <c r="BZ133" s="19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71.25" x14ac:dyDescent="0.25">
      <c r="A134" s="197">
        <v>11900</v>
      </c>
      <c r="B134" s="194" t="s">
        <v>349</v>
      </c>
      <c r="C134" s="198" t="s">
        <v>357</v>
      </c>
      <c r="D134" s="194" t="s">
        <v>146</v>
      </c>
      <c r="E134" s="198" t="s">
        <v>450</v>
      </c>
      <c r="F134" s="194" t="s">
        <v>449</v>
      </c>
      <c r="G134" s="209" t="s">
        <v>124</v>
      </c>
      <c r="H134" s="215">
        <v>2</v>
      </c>
      <c r="I134" s="198" t="s">
        <v>549</v>
      </c>
      <c r="J134" s="194" t="s">
        <v>699</v>
      </c>
      <c r="K134" s="210">
        <v>0</v>
      </c>
      <c r="L134" s="211">
        <v>1</v>
      </c>
      <c r="M134" s="194" t="s">
        <v>46</v>
      </c>
      <c r="N134" s="194" t="s">
        <v>74</v>
      </c>
      <c r="O134" s="194" t="s">
        <v>21</v>
      </c>
      <c r="P134" s="194" t="s">
        <v>36</v>
      </c>
      <c r="Q134" s="194" t="s">
        <v>229</v>
      </c>
      <c r="R134" s="194" t="s">
        <v>631</v>
      </c>
      <c r="S134" s="194" t="s">
        <v>99</v>
      </c>
      <c r="T134" s="227">
        <v>2</v>
      </c>
      <c r="U134" s="212" t="str">
        <f t="shared" si="43"/>
        <v>Informe de identificación de  reclamaciones contenidas en actos administrativos debidamente ejecutoriados y con mora mayor a 180 días</v>
      </c>
      <c r="V134" s="213">
        <f t="shared" si="43"/>
        <v>0</v>
      </c>
      <c r="W134" s="214" t="s">
        <v>117</v>
      </c>
      <c r="X134" s="215">
        <v>2</v>
      </c>
      <c r="Y134" s="214" t="s">
        <v>368</v>
      </c>
      <c r="Z134" s="210">
        <v>0</v>
      </c>
      <c r="AA134" s="196"/>
      <c r="AB134" s="196"/>
      <c r="AC134" s="204">
        <f t="shared" si="44"/>
        <v>0</v>
      </c>
      <c r="AD134" s="204" t="e">
        <f t="shared" si="45"/>
        <v>#DIV/0!</v>
      </c>
      <c r="AE134" s="204">
        <f t="shared" si="31"/>
        <v>0</v>
      </c>
      <c r="AF134" s="204" t="e">
        <f t="shared" si="32"/>
        <v>#DIV/0!</v>
      </c>
      <c r="AG134" s="215">
        <v>0</v>
      </c>
      <c r="AH134" s="214" t="s">
        <v>368</v>
      </c>
      <c r="AI134" s="210">
        <v>0</v>
      </c>
      <c r="AJ134" s="196"/>
      <c r="AK134" s="196"/>
      <c r="AL134" s="204" t="e">
        <f t="shared" si="46"/>
        <v>#DIV/0!</v>
      </c>
      <c r="AM134" s="204" t="e">
        <f t="shared" si="33"/>
        <v>#DIV/0!</v>
      </c>
      <c r="AN134" s="204">
        <f t="shared" si="34"/>
        <v>0</v>
      </c>
      <c r="AO134" s="204" t="e">
        <f t="shared" si="35"/>
        <v>#DIV/0!</v>
      </c>
      <c r="AP134" s="215">
        <v>0</v>
      </c>
      <c r="AQ134" s="214" t="s">
        <v>368</v>
      </c>
      <c r="AR134" s="210">
        <v>0</v>
      </c>
      <c r="AS134" s="196"/>
      <c r="AT134" s="196"/>
      <c r="AU134" s="204" t="e">
        <f t="shared" si="47"/>
        <v>#DIV/0!</v>
      </c>
      <c r="AV134" s="204" t="e">
        <f t="shared" si="48"/>
        <v>#DIV/0!</v>
      </c>
      <c r="AW134" s="204">
        <f t="shared" si="49"/>
        <v>0</v>
      </c>
      <c r="AX134" s="204" t="e">
        <f t="shared" si="50"/>
        <v>#DIV/0!</v>
      </c>
      <c r="AY134" s="215">
        <v>0</v>
      </c>
      <c r="AZ134" s="214" t="s">
        <v>368</v>
      </c>
      <c r="BA134" s="210">
        <v>0</v>
      </c>
      <c r="BB134" s="196"/>
      <c r="BC134" s="196"/>
      <c r="BD134" s="216" t="e">
        <f t="shared" si="51"/>
        <v>#DIV/0!</v>
      </c>
      <c r="BE134" s="216" t="e">
        <f t="shared" si="52"/>
        <v>#DIV/0!</v>
      </c>
      <c r="BF134" s="216">
        <f t="shared" si="53"/>
        <v>0</v>
      </c>
      <c r="BG134" s="216" t="e">
        <f t="shared" si="54"/>
        <v>#DIV/0!</v>
      </c>
      <c r="BH134" s="217">
        <f t="shared" si="36"/>
        <v>0</v>
      </c>
      <c r="BI134" s="217" t="str">
        <f t="shared" si="37"/>
        <v>No Prog ni Ejec</v>
      </c>
      <c r="BJ134" s="217" t="str">
        <f t="shared" si="38"/>
        <v>No Prog ni Ejec</v>
      </c>
      <c r="BK134" s="217" t="str">
        <f t="shared" si="39"/>
        <v>No Prog ni Ejec</v>
      </c>
      <c r="BL134" s="217" t="str">
        <f t="shared" si="55"/>
        <v>No Prog ni Ejec</v>
      </c>
      <c r="BM134" s="217" t="str">
        <f t="shared" si="56"/>
        <v>No Prog ni Ejec</v>
      </c>
      <c r="BN134" s="217" t="str">
        <f t="shared" si="40"/>
        <v>No Prog ni Ejec</v>
      </c>
      <c r="BO134" s="217" t="str">
        <f t="shared" si="41"/>
        <v>No Prog ni Ejec</v>
      </c>
      <c r="BP134" s="206"/>
      <c r="BQ134" s="277">
        <v>31</v>
      </c>
      <c r="BR134" s="218">
        <f t="shared" si="42"/>
        <v>2</v>
      </c>
      <c r="BS134" s="219" t="str">
        <f t="shared" si="57"/>
        <v>Informe de identificación de  reclamaciones contenidas en actos administrativos debidamente ejecutoriados y con mora mayor a 180 días</v>
      </c>
      <c r="BT134" s="195">
        <f t="shared" si="30"/>
        <v>0</v>
      </c>
      <c r="BU134" s="196"/>
      <c r="BV134" s="196"/>
      <c r="BW134" s="196"/>
      <c r="BX134" s="196"/>
      <c r="BY134" s="196"/>
      <c r="BZ134" s="19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4" x14ac:dyDescent="0.25">
      <c r="A135" s="197">
        <v>11900</v>
      </c>
      <c r="B135" s="194" t="s">
        <v>349</v>
      </c>
      <c r="C135" s="198" t="s">
        <v>357</v>
      </c>
      <c r="D135" s="194" t="s">
        <v>146</v>
      </c>
      <c r="E135" s="1309" t="s">
        <v>450</v>
      </c>
      <c r="F135" s="1319" t="s">
        <v>449</v>
      </c>
      <c r="G135" s="1309" t="s">
        <v>123</v>
      </c>
      <c r="H135" s="216">
        <v>1</v>
      </c>
      <c r="I135" s="1309" t="s">
        <v>550</v>
      </c>
      <c r="J135" s="1319" t="s">
        <v>451</v>
      </c>
      <c r="K135" s="1313">
        <v>0</v>
      </c>
      <c r="L135" s="211">
        <v>1</v>
      </c>
      <c r="M135" s="1319" t="s">
        <v>46</v>
      </c>
      <c r="N135" s="1319" t="s">
        <v>74</v>
      </c>
      <c r="O135" s="1319" t="s">
        <v>21</v>
      </c>
      <c r="P135" s="1319" t="s">
        <v>36</v>
      </c>
      <c r="Q135" s="1319" t="s">
        <v>229</v>
      </c>
      <c r="R135" s="194" t="s">
        <v>453</v>
      </c>
      <c r="S135" s="194" t="s">
        <v>99</v>
      </c>
      <c r="T135" s="211">
        <v>1</v>
      </c>
      <c r="U135" s="212" t="str">
        <f t="shared" si="43"/>
        <v>Venta de Cartera mayor a &gt;180 días con actos administrativos debidamente ejecutoriados a Central de Inversiones SA -CISA-</v>
      </c>
      <c r="V135" s="213">
        <f t="shared" si="43"/>
        <v>0</v>
      </c>
      <c r="W135" s="214" t="s">
        <v>117</v>
      </c>
      <c r="X135" s="216">
        <v>0.5</v>
      </c>
      <c r="Y135" s="214" t="s">
        <v>369</v>
      </c>
      <c r="Z135" s="210">
        <v>0</v>
      </c>
      <c r="AA135" s="196"/>
      <c r="AB135" s="196"/>
      <c r="AC135" s="204">
        <f t="shared" si="44"/>
        <v>0</v>
      </c>
      <c r="AD135" s="204" t="e">
        <f>+(AB135/Z135)</f>
        <v>#DIV/0!</v>
      </c>
      <c r="AE135" s="204">
        <f t="shared" si="31"/>
        <v>0</v>
      </c>
      <c r="AF135" s="204" t="e">
        <f t="shared" si="32"/>
        <v>#DIV/0!</v>
      </c>
      <c r="AG135" s="216">
        <v>0.5</v>
      </c>
      <c r="AH135" s="214" t="s">
        <v>369</v>
      </c>
      <c r="AI135" s="210">
        <v>0</v>
      </c>
      <c r="AJ135" s="196"/>
      <c r="AK135" s="196"/>
      <c r="AL135" s="204">
        <f t="shared" si="46"/>
        <v>0</v>
      </c>
      <c r="AM135" s="204" t="e">
        <f t="shared" si="33"/>
        <v>#DIV/0!</v>
      </c>
      <c r="AN135" s="204">
        <f t="shared" si="34"/>
        <v>0</v>
      </c>
      <c r="AO135" s="204" t="e">
        <f t="shared" si="35"/>
        <v>#DIV/0!</v>
      </c>
      <c r="AP135" s="216">
        <v>0</v>
      </c>
      <c r="AQ135" s="214" t="s">
        <v>369</v>
      </c>
      <c r="AR135" s="210">
        <v>0</v>
      </c>
      <c r="AS135" s="196"/>
      <c r="AT135" s="196"/>
      <c r="AU135" s="204" t="e">
        <f t="shared" si="47"/>
        <v>#DIV/0!</v>
      </c>
      <c r="AV135" s="204" t="e">
        <f t="shared" si="48"/>
        <v>#DIV/0!</v>
      </c>
      <c r="AW135" s="204">
        <f t="shared" si="49"/>
        <v>0</v>
      </c>
      <c r="AX135" s="204" t="e">
        <f t="shared" si="50"/>
        <v>#DIV/0!</v>
      </c>
      <c r="AY135" s="216">
        <v>0</v>
      </c>
      <c r="AZ135" s="214" t="s">
        <v>369</v>
      </c>
      <c r="BA135" s="210">
        <v>0</v>
      </c>
      <c r="BB135" s="196"/>
      <c r="BC135" s="196"/>
      <c r="BD135" s="216" t="e">
        <f t="shared" si="51"/>
        <v>#DIV/0!</v>
      </c>
      <c r="BE135" s="216" t="e">
        <f t="shared" si="52"/>
        <v>#DIV/0!</v>
      </c>
      <c r="BF135" s="216">
        <f t="shared" si="53"/>
        <v>0</v>
      </c>
      <c r="BG135" s="216" t="e">
        <f t="shared" si="54"/>
        <v>#DIV/0!</v>
      </c>
      <c r="BH135" s="217">
        <f t="shared" si="36"/>
        <v>0</v>
      </c>
      <c r="BI135" s="217" t="str">
        <f t="shared" si="37"/>
        <v>No Prog ni Ejec</v>
      </c>
      <c r="BJ135" s="217">
        <f t="shared" si="38"/>
        <v>0</v>
      </c>
      <c r="BK135" s="217" t="str">
        <f t="shared" si="39"/>
        <v>No Prog ni Ejec</v>
      </c>
      <c r="BL135" s="217" t="str">
        <f t="shared" si="55"/>
        <v>No Prog ni Ejec</v>
      </c>
      <c r="BM135" s="217" t="str">
        <f t="shared" si="56"/>
        <v>No Prog ni Ejec</v>
      </c>
      <c r="BN135" s="217" t="str">
        <f t="shared" si="40"/>
        <v>No Prog ni Ejec</v>
      </c>
      <c r="BO135" s="217" t="str">
        <f t="shared" si="41"/>
        <v>No Prog ni Ejec</v>
      </c>
      <c r="BP135" s="206"/>
      <c r="BQ135" s="277">
        <v>31</v>
      </c>
      <c r="BR135" s="208">
        <f t="shared" si="42"/>
        <v>1</v>
      </c>
      <c r="BS135" s="219" t="str">
        <f t="shared" si="57"/>
        <v>Venta de Cartera mayor a &gt;180 días con actos administrativos debidamente ejecutoriados a Central de Inversiones SA -CISA-</v>
      </c>
      <c r="BT135" s="195">
        <f t="shared" si="30"/>
        <v>0</v>
      </c>
      <c r="BU135" s="196"/>
      <c r="BV135" s="196"/>
      <c r="BW135" s="196"/>
      <c r="BX135" s="196"/>
      <c r="BY135" s="196"/>
      <c r="BZ135" s="19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4" x14ac:dyDescent="0.25">
      <c r="A136" s="197">
        <v>11900</v>
      </c>
      <c r="B136" s="194" t="s">
        <v>349</v>
      </c>
      <c r="C136" s="198" t="s">
        <v>357</v>
      </c>
      <c r="D136" s="194" t="s">
        <v>146</v>
      </c>
      <c r="E136" s="1310"/>
      <c r="F136" s="1320"/>
      <c r="G136" s="1310"/>
      <c r="H136" s="226">
        <v>0.02</v>
      </c>
      <c r="I136" s="1310"/>
      <c r="J136" s="1320"/>
      <c r="K136" s="1314"/>
      <c r="L136" s="211">
        <v>0.02</v>
      </c>
      <c r="M136" s="1320"/>
      <c r="N136" s="1320"/>
      <c r="O136" s="1320"/>
      <c r="P136" s="1320"/>
      <c r="Q136" s="1320"/>
      <c r="R136" s="201" t="s">
        <v>833</v>
      </c>
      <c r="S136" s="194" t="s">
        <v>99</v>
      </c>
      <c r="T136" s="211">
        <v>0.3</v>
      </c>
      <c r="U136" s="212" t="str">
        <f>+J135</f>
        <v>Venta de Cartera mayor a &gt;180 días con actos administrativos debidamente ejecutoriados a Central de Inversiones SA -CISA-</v>
      </c>
      <c r="V136" s="213">
        <f t="shared" si="43"/>
        <v>0</v>
      </c>
      <c r="W136" s="214" t="s">
        <v>117</v>
      </c>
      <c r="X136" s="286">
        <v>0.02</v>
      </c>
      <c r="Y136" s="282" t="s">
        <v>369</v>
      </c>
      <c r="Z136" s="283">
        <v>0</v>
      </c>
      <c r="AA136" s="279"/>
      <c r="AB136" s="279"/>
      <c r="AC136" s="280">
        <f t="shared" si="44"/>
        <v>0</v>
      </c>
      <c r="AD136" s="280" t="e">
        <f>+(AB136/Z136)</f>
        <v>#DIV/0!</v>
      </c>
      <c r="AE136" s="280">
        <f t="shared" si="31"/>
        <v>0</v>
      </c>
      <c r="AF136" s="280" t="e">
        <f t="shared" si="32"/>
        <v>#DIV/0!</v>
      </c>
      <c r="AG136" s="286">
        <v>0.02</v>
      </c>
      <c r="AH136" s="282" t="s">
        <v>369</v>
      </c>
      <c r="AI136" s="283">
        <v>0</v>
      </c>
      <c r="AJ136" s="279"/>
      <c r="AK136" s="279"/>
      <c r="AL136" s="280">
        <f t="shared" si="46"/>
        <v>0</v>
      </c>
      <c r="AM136" s="280" t="e">
        <f t="shared" si="33"/>
        <v>#DIV/0!</v>
      </c>
      <c r="AN136" s="280">
        <f t="shared" si="34"/>
        <v>0</v>
      </c>
      <c r="AO136" s="280" t="e">
        <f t="shared" si="35"/>
        <v>#DIV/0!</v>
      </c>
      <c r="AP136" s="286">
        <v>0</v>
      </c>
      <c r="AQ136" s="282" t="s">
        <v>369</v>
      </c>
      <c r="AR136" s="283">
        <v>0</v>
      </c>
      <c r="AS136" s="279"/>
      <c r="AT136" s="279"/>
      <c r="AU136" s="280" t="e">
        <f t="shared" si="47"/>
        <v>#DIV/0!</v>
      </c>
      <c r="AV136" s="280" t="e">
        <f>+(AT136/AR136)</f>
        <v>#DIV/0!</v>
      </c>
      <c r="AW136" s="287">
        <f t="shared" si="49"/>
        <v>0</v>
      </c>
      <c r="AX136" s="280" t="e">
        <f t="shared" si="50"/>
        <v>#DIV/0!</v>
      </c>
      <c r="AY136" s="286">
        <v>0</v>
      </c>
      <c r="AZ136" s="282" t="s">
        <v>369</v>
      </c>
      <c r="BA136" s="283">
        <v>0</v>
      </c>
      <c r="BB136" s="279"/>
      <c r="BC136" s="279"/>
      <c r="BD136" s="281" t="e">
        <f t="shared" si="51"/>
        <v>#DIV/0!</v>
      </c>
      <c r="BE136" s="281" t="e">
        <f t="shared" si="52"/>
        <v>#DIV/0!</v>
      </c>
      <c r="BF136" s="281">
        <f t="shared" si="53"/>
        <v>0</v>
      </c>
      <c r="BG136" s="281" t="e">
        <f t="shared" si="54"/>
        <v>#DIV/0!</v>
      </c>
      <c r="BH136" s="205">
        <f>IF(AND(X136=0,AA136=0),"No Prog ni Ejec",IF(X136=0,CONCATENATE("No Prog, Ejec=  ",AA136),AA136/X136))</f>
        <v>0</v>
      </c>
      <c r="BI136" s="205" t="str">
        <f>IF(AND(Z136=0,AB136=0),"No Prog ni Ejec",IF(Z136=0,CONCATENATE("No Prog, Ejec=  ",AB136),AB136/Z136))</f>
        <v>No Prog ni Ejec</v>
      </c>
      <c r="BJ136" s="205">
        <f t="shared" si="38"/>
        <v>0</v>
      </c>
      <c r="BK136" s="205" t="str">
        <f t="shared" si="39"/>
        <v>No Prog ni Ejec</v>
      </c>
      <c r="BL136" s="205" t="str">
        <f t="shared" si="55"/>
        <v>No Prog ni Ejec</v>
      </c>
      <c r="BM136" s="205" t="str">
        <f>IF(AND(AR136=0,AT136=0),"No Prog ni Ejec",IF(AR136=0,CONCATENATE("No Prog, Ejec=  ",AT136),AT136/AR136))</f>
        <v>No Prog ni Ejec</v>
      </c>
      <c r="BN136" s="205" t="str">
        <f t="shared" si="40"/>
        <v>No Prog ni Ejec</v>
      </c>
      <c r="BO136" s="205" t="str">
        <f>IF(AND(BA136=0,BC136=0),"No Prog ni Ejec",IF(BA136=0,CONCATENATE("No Prog, Ejec=  ",BC136),BC136/BA136))</f>
        <v>No Prog ni Ejec</v>
      </c>
      <c r="BP136" s="206" t="s">
        <v>837</v>
      </c>
      <c r="BQ136" s="277">
        <v>31</v>
      </c>
      <c r="BR136" s="208">
        <f t="shared" si="42"/>
        <v>0.04</v>
      </c>
      <c r="BS136" s="219" t="str">
        <f t="shared" si="57"/>
        <v>Venta de Cartera mayor a &gt;180 días con actos administrativos debidamente ejecutoriados a Central de Inversiones SA -CISA-</v>
      </c>
      <c r="BT136" s="195">
        <f t="shared" si="30"/>
        <v>0</v>
      </c>
      <c r="BU136" s="196"/>
      <c r="BV136" s="196"/>
      <c r="BW136" s="196"/>
      <c r="BX136" s="196"/>
      <c r="BY136" s="196"/>
      <c r="BZ136" s="19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71.25" x14ac:dyDescent="0.25">
      <c r="A137" s="197">
        <v>11900</v>
      </c>
      <c r="B137" s="194" t="s">
        <v>349</v>
      </c>
      <c r="C137" s="198" t="s">
        <v>357</v>
      </c>
      <c r="D137" s="194" t="s">
        <v>146</v>
      </c>
      <c r="E137" s="198" t="s">
        <v>450</v>
      </c>
      <c r="F137" s="194" t="s">
        <v>449</v>
      </c>
      <c r="G137" s="209" t="s">
        <v>123</v>
      </c>
      <c r="H137" s="216">
        <v>1</v>
      </c>
      <c r="I137" s="198" t="s">
        <v>464</v>
      </c>
      <c r="J137" s="194" t="s">
        <v>835</v>
      </c>
      <c r="K137" s="210">
        <v>55760808</v>
      </c>
      <c r="L137" s="211">
        <v>1</v>
      </c>
      <c r="M137" s="194" t="s">
        <v>46</v>
      </c>
      <c r="N137" s="194" t="s">
        <v>74</v>
      </c>
      <c r="O137" s="194" t="s">
        <v>21</v>
      </c>
      <c r="P137" s="194" t="s">
        <v>36</v>
      </c>
      <c r="Q137" s="194" t="s">
        <v>229</v>
      </c>
      <c r="R137" s="194" t="s">
        <v>834</v>
      </c>
      <c r="S137" s="194" t="s">
        <v>99</v>
      </c>
      <c r="T137" s="211">
        <v>1</v>
      </c>
      <c r="U137" s="212" t="str">
        <f t="shared" si="43"/>
        <v>Actos administrativos mediante los cuales se establecen los fallecidos, incobrables, cancelados y revocados, recultado del proceso de depuración</v>
      </c>
      <c r="V137" s="213">
        <f t="shared" si="43"/>
        <v>55760808</v>
      </c>
      <c r="W137" s="222" t="s">
        <v>114</v>
      </c>
      <c r="X137" s="216">
        <v>0.25</v>
      </c>
      <c r="Y137" s="214" t="s">
        <v>452</v>
      </c>
      <c r="Z137" s="210">
        <v>13940202</v>
      </c>
      <c r="AA137" s="196"/>
      <c r="AB137" s="196"/>
      <c r="AC137" s="204">
        <f t="shared" si="44"/>
        <v>0</v>
      </c>
      <c r="AD137" s="204">
        <f t="shared" si="45"/>
        <v>0</v>
      </c>
      <c r="AE137" s="204">
        <f t="shared" si="31"/>
        <v>0</v>
      </c>
      <c r="AF137" s="204">
        <f t="shared" si="32"/>
        <v>0</v>
      </c>
      <c r="AG137" s="216">
        <v>0.25</v>
      </c>
      <c r="AH137" s="214" t="s">
        <v>452</v>
      </c>
      <c r="AI137" s="210">
        <v>13940202</v>
      </c>
      <c r="AJ137" s="196"/>
      <c r="AK137" s="196"/>
      <c r="AL137" s="204">
        <f t="shared" si="46"/>
        <v>0</v>
      </c>
      <c r="AM137" s="204">
        <f t="shared" si="33"/>
        <v>0</v>
      </c>
      <c r="AN137" s="204">
        <f t="shared" si="34"/>
        <v>0</v>
      </c>
      <c r="AO137" s="204">
        <f t="shared" si="35"/>
        <v>0</v>
      </c>
      <c r="AP137" s="216">
        <v>0.25</v>
      </c>
      <c r="AQ137" s="214" t="s">
        <v>452</v>
      </c>
      <c r="AR137" s="210">
        <v>13940202</v>
      </c>
      <c r="AS137" s="196"/>
      <c r="AT137" s="196"/>
      <c r="AU137" s="204">
        <f t="shared" si="47"/>
        <v>0</v>
      </c>
      <c r="AV137" s="204">
        <f t="shared" si="48"/>
        <v>0</v>
      </c>
      <c r="AW137" s="204">
        <f t="shared" si="49"/>
        <v>0</v>
      </c>
      <c r="AX137" s="204">
        <f t="shared" si="50"/>
        <v>0</v>
      </c>
      <c r="AY137" s="216">
        <v>0.25</v>
      </c>
      <c r="AZ137" s="214" t="s">
        <v>452</v>
      </c>
      <c r="BA137" s="210">
        <v>13940202</v>
      </c>
      <c r="BB137" s="196"/>
      <c r="BC137" s="196"/>
      <c r="BD137" s="216">
        <f t="shared" si="51"/>
        <v>0</v>
      </c>
      <c r="BE137" s="216">
        <f t="shared" si="52"/>
        <v>0</v>
      </c>
      <c r="BF137" s="216">
        <f t="shared" si="53"/>
        <v>0</v>
      </c>
      <c r="BG137" s="216">
        <f t="shared" si="54"/>
        <v>0</v>
      </c>
      <c r="BH137" s="228">
        <f t="shared" si="36"/>
        <v>0</v>
      </c>
      <c r="BI137" s="228">
        <f t="shared" si="37"/>
        <v>0</v>
      </c>
      <c r="BJ137" s="228">
        <f t="shared" si="38"/>
        <v>0</v>
      </c>
      <c r="BK137" s="228">
        <f t="shared" si="39"/>
        <v>0</v>
      </c>
      <c r="BL137" s="228">
        <f t="shared" si="55"/>
        <v>0</v>
      </c>
      <c r="BM137" s="228">
        <f t="shared" si="56"/>
        <v>0</v>
      </c>
      <c r="BN137" s="228">
        <f t="shared" si="40"/>
        <v>0</v>
      </c>
      <c r="BO137" s="228">
        <f t="shared" si="41"/>
        <v>0</v>
      </c>
      <c r="BP137" s="206"/>
      <c r="BQ137" s="277">
        <v>32</v>
      </c>
      <c r="BR137" s="208">
        <f t="shared" si="42"/>
        <v>0.58333333333333337</v>
      </c>
      <c r="BS137" s="219" t="str">
        <f t="shared" si="57"/>
        <v>Actos administrativos mediante los cuales se establecen los fallecidos, incobrables, cancelados y revocados, recultado del proceso de depuración</v>
      </c>
      <c r="BT137" s="195">
        <f t="shared" si="30"/>
        <v>32527138</v>
      </c>
      <c r="BU137" s="196"/>
      <c r="BV137" s="196"/>
      <c r="BW137" s="196"/>
      <c r="BX137" s="196"/>
      <c r="BY137" s="196"/>
      <c r="BZ137" s="19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7" x14ac:dyDescent="0.25">
      <c r="A138" s="197">
        <v>12000</v>
      </c>
      <c r="B138" s="194" t="s">
        <v>30</v>
      </c>
      <c r="C138" s="198" t="s">
        <v>131</v>
      </c>
      <c r="D138" s="194" t="s">
        <v>153</v>
      </c>
      <c r="E138" s="198" t="s">
        <v>132</v>
      </c>
      <c r="F138" s="194" t="s">
        <v>133</v>
      </c>
      <c r="G138" s="209" t="s">
        <v>124</v>
      </c>
      <c r="H138" s="198">
        <v>4</v>
      </c>
      <c r="I138" s="198" t="s">
        <v>143</v>
      </c>
      <c r="J138" s="194" t="s">
        <v>24</v>
      </c>
      <c r="K138" s="210">
        <v>0</v>
      </c>
      <c r="L138" s="211">
        <v>1</v>
      </c>
      <c r="M138" s="194" t="s">
        <v>51</v>
      </c>
      <c r="N138" s="194" t="s">
        <v>68</v>
      </c>
      <c r="O138" s="194" t="s">
        <v>21</v>
      </c>
      <c r="P138" s="194" t="s">
        <v>36</v>
      </c>
      <c r="Q138" s="194" t="s">
        <v>75</v>
      </c>
      <c r="R138" s="194" t="s">
        <v>631</v>
      </c>
      <c r="S138" s="194" t="s">
        <v>98</v>
      </c>
      <c r="T138" s="221">
        <v>4</v>
      </c>
      <c r="U138" s="212" t="str">
        <f t="shared" si="43"/>
        <v>Reportar el cumplimiento del Plan de Acción de la Dependencia</v>
      </c>
      <c r="V138" s="213">
        <f t="shared" si="43"/>
        <v>0</v>
      </c>
      <c r="W138" s="214" t="s">
        <v>117</v>
      </c>
      <c r="X138" s="215">
        <v>1</v>
      </c>
      <c r="Y138" s="214" t="s">
        <v>24</v>
      </c>
      <c r="Z138" s="210">
        <v>0</v>
      </c>
      <c r="AA138" s="196"/>
      <c r="AB138" s="196"/>
      <c r="AC138" s="204">
        <f t="shared" si="44"/>
        <v>0</v>
      </c>
      <c r="AD138" s="204" t="e">
        <f t="shared" si="45"/>
        <v>#DIV/0!</v>
      </c>
      <c r="AE138" s="204">
        <f t="shared" si="31"/>
        <v>0</v>
      </c>
      <c r="AF138" s="204" t="e">
        <f t="shared" si="32"/>
        <v>#DIV/0!</v>
      </c>
      <c r="AG138" s="215">
        <v>1</v>
      </c>
      <c r="AH138" s="214" t="s">
        <v>24</v>
      </c>
      <c r="AI138" s="210">
        <v>0</v>
      </c>
      <c r="AJ138" s="196"/>
      <c r="AK138" s="196"/>
      <c r="AL138" s="204">
        <f t="shared" si="46"/>
        <v>0</v>
      </c>
      <c r="AM138" s="204" t="e">
        <f t="shared" si="33"/>
        <v>#DIV/0!</v>
      </c>
      <c r="AN138" s="204">
        <f t="shared" si="34"/>
        <v>0</v>
      </c>
      <c r="AO138" s="204" t="e">
        <f t="shared" si="35"/>
        <v>#DIV/0!</v>
      </c>
      <c r="AP138" s="215">
        <v>1</v>
      </c>
      <c r="AQ138" s="214" t="s">
        <v>24</v>
      </c>
      <c r="AR138" s="210">
        <v>0</v>
      </c>
      <c r="AS138" s="196"/>
      <c r="AT138" s="196"/>
      <c r="AU138" s="204">
        <f t="shared" si="47"/>
        <v>0</v>
      </c>
      <c r="AV138" s="204" t="e">
        <f t="shared" si="48"/>
        <v>#DIV/0!</v>
      </c>
      <c r="AW138" s="204">
        <f t="shared" si="49"/>
        <v>0</v>
      </c>
      <c r="AX138" s="204" t="e">
        <f t="shared" si="50"/>
        <v>#DIV/0!</v>
      </c>
      <c r="AY138" s="215">
        <v>1</v>
      </c>
      <c r="AZ138" s="214" t="s">
        <v>24</v>
      </c>
      <c r="BA138" s="210">
        <v>0</v>
      </c>
      <c r="BB138" s="196"/>
      <c r="BC138" s="196"/>
      <c r="BD138" s="216">
        <f t="shared" si="51"/>
        <v>0</v>
      </c>
      <c r="BE138" s="216" t="e">
        <f t="shared" si="52"/>
        <v>#DIV/0!</v>
      </c>
      <c r="BF138" s="216">
        <f t="shared" si="53"/>
        <v>0</v>
      </c>
      <c r="BG138" s="216" t="e">
        <f t="shared" si="54"/>
        <v>#DIV/0!</v>
      </c>
      <c r="BH138" s="217">
        <f t="shared" si="36"/>
        <v>0</v>
      </c>
      <c r="BI138" s="217" t="str">
        <f t="shared" si="37"/>
        <v>No Prog ni Ejec</v>
      </c>
      <c r="BJ138" s="217">
        <f t="shared" si="38"/>
        <v>0</v>
      </c>
      <c r="BK138" s="217" t="str">
        <f t="shared" si="39"/>
        <v>No Prog ni Ejec</v>
      </c>
      <c r="BL138" s="217">
        <f t="shared" si="55"/>
        <v>0</v>
      </c>
      <c r="BM138" s="217" t="str">
        <f t="shared" si="56"/>
        <v>No Prog ni Ejec</v>
      </c>
      <c r="BN138" s="217">
        <f t="shared" si="40"/>
        <v>0</v>
      </c>
      <c r="BO138" s="217" t="str">
        <f t="shared" si="41"/>
        <v>No Prog ni Ejec</v>
      </c>
      <c r="BP138" s="206"/>
      <c r="BQ138" s="277">
        <v>5</v>
      </c>
      <c r="BR138" s="218">
        <f t="shared" si="42"/>
        <v>2.3333333333333335</v>
      </c>
      <c r="BS138" s="219" t="str">
        <f t="shared" si="57"/>
        <v>Reportar el cumplimiento del Plan de Acción de la Dependencia</v>
      </c>
      <c r="BT138" s="195">
        <f t="shared" ref="BT138:BT150" si="58">+(Z138+AI138+(AR138/3))</f>
        <v>0</v>
      </c>
      <c r="BU138" s="196"/>
      <c r="BV138" s="196"/>
      <c r="BW138" s="196"/>
      <c r="BX138" s="196"/>
      <c r="BY138" s="196"/>
      <c r="BZ138" s="19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99.75" x14ac:dyDescent="0.25">
      <c r="A139" s="197">
        <v>12000</v>
      </c>
      <c r="B139" s="194" t="s">
        <v>30</v>
      </c>
      <c r="C139" s="198" t="s">
        <v>355</v>
      </c>
      <c r="D139" s="194" t="s">
        <v>256</v>
      </c>
      <c r="E139" s="198" t="s">
        <v>356</v>
      </c>
      <c r="F139" s="194" t="s">
        <v>134</v>
      </c>
      <c r="G139" s="209" t="s">
        <v>124</v>
      </c>
      <c r="H139" s="198">
        <v>4</v>
      </c>
      <c r="I139" s="198" t="s">
        <v>539</v>
      </c>
      <c r="J139" s="194" t="s">
        <v>683</v>
      </c>
      <c r="K139" s="210">
        <v>0</v>
      </c>
      <c r="L139" s="211">
        <v>1</v>
      </c>
      <c r="M139" s="194" t="s">
        <v>51</v>
      </c>
      <c r="N139" s="194" t="s">
        <v>68</v>
      </c>
      <c r="O139" s="194" t="s">
        <v>21</v>
      </c>
      <c r="P139" s="194" t="s">
        <v>36</v>
      </c>
      <c r="Q139" s="194" t="s">
        <v>75</v>
      </c>
      <c r="R139" s="194" t="s">
        <v>628</v>
      </c>
      <c r="S139" s="194" t="s">
        <v>98</v>
      </c>
      <c r="T139" s="221">
        <v>4</v>
      </c>
      <c r="U139" s="212" t="str">
        <f t="shared" si="43"/>
        <v xml:space="preserve">Reportar el cumplimiento de la ejecución del Plan de Acción </v>
      </c>
      <c r="V139" s="213">
        <f t="shared" si="43"/>
        <v>0</v>
      </c>
      <c r="W139" s="214" t="s">
        <v>117</v>
      </c>
      <c r="X139" s="215">
        <v>1</v>
      </c>
      <c r="Y139" s="214" t="s">
        <v>683</v>
      </c>
      <c r="Z139" s="210">
        <v>0</v>
      </c>
      <c r="AA139" s="196"/>
      <c r="AB139" s="196"/>
      <c r="AC139" s="204">
        <f t="shared" si="44"/>
        <v>0</v>
      </c>
      <c r="AD139" s="204" t="e">
        <f t="shared" si="45"/>
        <v>#DIV/0!</v>
      </c>
      <c r="AE139" s="204">
        <f t="shared" si="31"/>
        <v>0</v>
      </c>
      <c r="AF139" s="204" t="e">
        <f t="shared" si="32"/>
        <v>#DIV/0!</v>
      </c>
      <c r="AG139" s="215">
        <v>1</v>
      </c>
      <c r="AH139" s="214" t="s">
        <v>683</v>
      </c>
      <c r="AI139" s="210">
        <v>0</v>
      </c>
      <c r="AJ139" s="196"/>
      <c r="AK139" s="196"/>
      <c r="AL139" s="204">
        <f t="shared" si="46"/>
        <v>0</v>
      </c>
      <c r="AM139" s="204" t="e">
        <f t="shared" si="33"/>
        <v>#DIV/0!</v>
      </c>
      <c r="AN139" s="204">
        <f t="shared" si="34"/>
        <v>0</v>
      </c>
      <c r="AO139" s="204" t="e">
        <f t="shared" si="35"/>
        <v>#DIV/0!</v>
      </c>
      <c r="AP139" s="215">
        <v>1</v>
      </c>
      <c r="AQ139" s="214" t="s">
        <v>683</v>
      </c>
      <c r="AR139" s="210">
        <v>0</v>
      </c>
      <c r="AS139" s="196"/>
      <c r="AT139" s="196"/>
      <c r="AU139" s="204">
        <f t="shared" si="47"/>
        <v>0</v>
      </c>
      <c r="AV139" s="204" t="e">
        <f t="shared" si="48"/>
        <v>#DIV/0!</v>
      </c>
      <c r="AW139" s="204">
        <f t="shared" si="49"/>
        <v>0</v>
      </c>
      <c r="AX139" s="204" t="e">
        <f t="shared" si="50"/>
        <v>#DIV/0!</v>
      </c>
      <c r="AY139" s="215">
        <v>1</v>
      </c>
      <c r="AZ139" s="214" t="s">
        <v>683</v>
      </c>
      <c r="BA139" s="210">
        <v>0</v>
      </c>
      <c r="BB139" s="196"/>
      <c r="BC139" s="196"/>
      <c r="BD139" s="216">
        <f t="shared" si="51"/>
        <v>0</v>
      </c>
      <c r="BE139" s="216" t="e">
        <f t="shared" si="52"/>
        <v>#DIV/0!</v>
      </c>
      <c r="BF139" s="216">
        <f t="shared" si="53"/>
        <v>0</v>
      </c>
      <c r="BG139" s="216" t="e">
        <f t="shared" si="54"/>
        <v>#DIV/0!</v>
      </c>
      <c r="BH139" s="207">
        <f t="shared" si="36"/>
        <v>0</v>
      </c>
      <c r="BI139" s="207" t="str">
        <f t="shared" si="37"/>
        <v>No Prog ni Ejec</v>
      </c>
      <c r="BJ139" s="207">
        <f t="shared" si="38"/>
        <v>0</v>
      </c>
      <c r="BK139" s="207" t="str">
        <f t="shared" si="39"/>
        <v>No Prog ni Ejec</v>
      </c>
      <c r="BL139" s="207">
        <f t="shared" si="55"/>
        <v>0</v>
      </c>
      <c r="BM139" s="207" t="str">
        <f t="shared" si="56"/>
        <v>No Prog ni Ejec</v>
      </c>
      <c r="BN139" s="207">
        <f t="shared" si="40"/>
        <v>0</v>
      </c>
      <c r="BO139" s="207" t="str">
        <f t="shared" si="41"/>
        <v>No Prog ni Ejec</v>
      </c>
      <c r="BP139" s="206"/>
      <c r="BQ139" s="277">
        <v>5</v>
      </c>
      <c r="BR139" s="218">
        <f t="shared" ref="BR139:BR150" si="59">+(X139+AG139+(AP139/3))</f>
        <v>2.3333333333333335</v>
      </c>
      <c r="BS139" s="219" t="str">
        <f t="shared" si="57"/>
        <v xml:space="preserve">Reportar el cumplimiento de la ejecución del Plan de Acción </v>
      </c>
      <c r="BT139" s="195">
        <f t="shared" si="58"/>
        <v>0</v>
      </c>
      <c r="BU139" s="196"/>
      <c r="BV139" s="196"/>
      <c r="BW139" s="196"/>
      <c r="BX139" s="196"/>
      <c r="BY139" s="196"/>
      <c r="BZ139" s="19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99.75" x14ac:dyDescent="0.25">
      <c r="A140" s="197">
        <v>12000</v>
      </c>
      <c r="B140" s="194" t="s">
        <v>30</v>
      </c>
      <c r="C140" s="198" t="s">
        <v>355</v>
      </c>
      <c r="D140" s="194" t="s">
        <v>256</v>
      </c>
      <c r="E140" s="198" t="s">
        <v>540</v>
      </c>
      <c r="F140" s="194" t="s">
        <v>136</v>
      </c>
      <c r="G140" s="209" t="s">
        <v>123</v>
      </c>
      <c r="H140" s="216">
        <v>1</v>
      </c>
      <c r="I140" s="198" t="s">
        <v>541</v>
      </c>
      <c r="J140" s="194" t="s">
        <v>135</v>
      </c>
      <c r="K140" s="210">
        <v>61642068</v>
      </c>
      <c r="L140" s="211">
        <v>1</v>
      </c>
      <c r="M140" s="194" t="s">
        <v>51</v>
      </c>
      <c r="N140" s="194" t="s">
        <v>68</v>
      </c>
      <c r="O140" s="194" t="s">
        <v>21</v>
      </c>
      <c r="P140" s="194" t="s">
        <v>36</v>
      </c>
      <c r="Q140" s="194" t="s">
        <v>75</v>
      </c>
      <c r="R140" s="194" t="s">
        <v>182</v>
      </c>
      <c r="S140" s="194" t="s">
        <v>99</v>
      </c>
      <c r="T140" s="216">
        <v>1</v>
      </c>
      <c r="U140" s="212" t="str">
        <f t="shared" si="43"/>
        <v>Asesorar y apoyar en la implementación de MIPG</v>
      </c>
      <c r="V140" s="213">
        <f t="shared" si="43"/>
        <v>61642068</v>
      </c>
      <c r="W140" s="222" t="s">
        <v>114</v>
      </c>
      <c r="X140" s="216">
        <v>0.25</v>
      </c>
      <c r="Y140" s="214" t="s">
        <v>135</v>
      </c>
      <c r="Z140" s="210">
        <v>15410517</v>
      </c>
      <c r="AA140" s="196"/>
      <c r="AB140" s="196"/>
      <c r="AC140" s="204">
        <f t="shared" si="44"/>
        <v>0</v>
      </c>
      <c r="AD140" s="204">
        <f t="shared" si="45"/>
        <v>0</v>
      </c>
      <c r="AE140" s="204">
        <f t="shared" si="31"/>
        <v>0</v>
      </c>
      <c r="AF140" s="204">
        <f t="shared" si="32"/>
        <v>0</v>
      </c>
      <c r="AG140" s="216">
        <v>0.25</v>
      </c>
      <c r="AH140" s="214" t="s">
        <v>135</v>
      </c>
      <c r="AI140" s="210">
        <v>15410517</v>
      </c>
      <c r="AJ140" s="196"/>
      <c r="AK140" s="196"/>
      <c r="AL140" s="204">
        <f t="shared" si="46"/>
        <v>0</v>
      </c>
      <c r="AM140" s="204">
        <f t="shared" si="33"/>
        <v>0</v>
      </c>
      <c r="AN140" s="204">
        <f t="shared" si="34"/>
        <v>0</v>
      </c>
      <c r="AO140" s="204">
        <f t="shared" si="35"/>
        <v>0</v>
      </c>
      <c r="AP140" s="216">
        <v>0.25</v>
      </c>
      <c r="AQ140" s="214" t="s">
        <v>135</v>
      </c>
      <c r="AR140" s="210">
        <v>15410517</v>
      </c>
      <c r="AS140" s="196"/>
      <c r="AT140" s="196"/>
      <c r="AU140" s="204">
        <f t="shared" si="47"/>
        <v>0</v>
      </c>
      <c r="AV140" s="204">
        <f t="shared" si="48"/>
        <v>0</v>
      </c>
      <c r="AW140" s="204">
        <f t="shared" si="49"/>
        <v>0</v>
      </c>
      <c r="AX140" s="204">
        <f t="shared" si="50"/>
        <v>0</v>
      </c>
      <c r="AY140" s="216">
        <v>0.25</v>
      </c>
      <c r="AZ140" s="214" t="s">
        <v>135</v>
      </c>
      <c r="BA140" s="210">
        <v>15410517</v>
      </c>
      <c r="BB140" s="196"/>
      <c r="BC140" s="196"/>
      <c r="BD140" s="216">
        <f t="shared" si="51"/>
        <v>0</v>
      </c>
      <c r="BE140" s="216">
        <f t="shared" si="52"/>
        <v>0</v>
      </c>
      <c r="BF140" s="216">
        <f t="shared" si="53"/>
        <v>0</v>
      </c>
      <c r="BG140" s="216">
        <f t="shared" si="54"/>
        <v>0</v>
      </c>
      <c r="BH140" s="207">
        <f t="shared" si="36"/>
        <v>0</v>
      </c>
      <c r="BI140" s="207">
        <f t="shared" si="37"/>
        <v>0</v>
      </c>
      <c r="BJ140" s="207">
        <f t="shared" si="38"/>
        <v>0</v>
      </c>
      <c r="BK140" s="207">
        <f t="shared" si="39"/>
        <v>0</v>
      </c>
      <c r="BL140" s="207">
        <f t="shared" si="55"/>
        <v>0</v>
      </c>
      <c r="BM140" s="207">
        <f t="shared" si="56"/>
        <v>0</v>
      </c>
      <c r="BN140" s="207">
        <f t="shared" si="40"/>
        <v>0</v>
      </c>
      <c r="BO140" s="207">
        <f t="shared" si="41"/>
        <v>0</v>
      </c>
      <c r="BP140" s="206"/>
      <c r="BQ140" s="277">
        <v>5</v>
      </c>
      <c r="BR140" s="208">
        <f t="shared" si="59"/>
        <v>0.58333333333333337</v>
      </c>
      <c r="BS140" s="219" t="str">
        <f t="shared" si="57"/>
        <v>Asesorar y apoyar en la implementación de MIPG</v>
      </c>
      <c r="BT140" s="195">
        <f t="shared" si="58"/>
        <v>35957873</v>
      </c>
      <c r="BU140" s="196"/>
      <c r="BV140" s="196"/>
      <c r="BW140" s="196"/>
      <c r="BX140" s="196"/>
      <c r="BY140" s="196"/>
      <c r="BZ140" s="19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99.75" x14ac:dyDescent="0.25">
      <c r="A141" s="197">
        <v>12000</v>
      </c>
      <c r="B141" s="194" t="s">
        <v>30</v>
      </c>
      <c r="C141" s="198" t="s">
        <v>355</v>
      </c>
      <c r="D141" s="194" t="s">
        <v>256</v>
      </c>
      <c r="E141" s="198" t="s">
        <v>542</v>
      </c>
      <c r="F141" s="194" t="s">
        <v>139</v>
      </c>
      <c r="G141" s="209" t="s">
        <v>124</v>
      </c>
      <c r="H141" s="198">
        <v>1</v>
      </c>
      <c r="I141" s="198" t="s">
        <v>543</v>
      </c>
      <c r="J141" s="194" t="s">
        <v>138</v>
      </c>
      <c r="K141" s="210">
        <v>0</v>
      </c>
      <c r="L141" s="211">
        <v>1</v>
      </c>
      <c r="M141" s="194" t="s">
        <v>48</v>
      </c>
      <c r="N141" s="194" t="s">
        <v>62</v>
      </c>
      <c r="O141" s="194" t="s">
        <v>21</v>
      </c>
      <c r="P141" s="194" t="s">
        <v>23</v>
      </c>
      <c r="Q141" s="194" t="s">
        <v>75</v>
      </c>
      <c r="R141" s="194" t="s">
        <v>628</v>
      </c>
      <c r="S141" s="194" t="s">
        <v>98</v>
      </c>
      <c r="T141" s="221">
        <v>1</v>
      </c>
      <c r="U141" s="212" t="str">
        <f t="shared" si="43"/>
        <v>Elaboración del Informe de Rendición de Cuentas al Congreso de la República 2017-2018</v>
      </c>
      <c r="V141" s="213">
        <f t="shared" si="43"/>
        <v>0</v>
      </c>
      <c r="W141" s="214" t="s">
        <v>117</v>
      </c>
      <c r="X141" s="215">
        <v>0</v>
      </c>
      <c r="Y141" s="214" t="s">
        <v>138</v>
      </c>
      <c r="Z141" s="210">
        <v>0</v>
      </c>
      <c r="AA141" s="196"/>
      <c r="AB141" s="196"/>
      <c r="AC141" s="204" t="e">
        <f t="shared" si="44"/>
        <v>#DIV/0!</v>
      </c>
      <c r="AD141" s="204" t="e">
        <f t="shared" si="45"/>
        <v>#DIV/0!</v>
      </c>
      <c r="AE141" s="204">
        <f t="shared" ref="AE141:AE150" si="60">+(AA141/T141)</f>
        <v>0</v>
      </c>
      <c r="AF141" s="204" t="e">
        <f t="shared" ref="AF141:AF150" si="61">+(AB141/V141)</f>
        <v>#DIV/0!</v>
      </c>
      <c r="AG141" s="215">
        <v>0</v>
      </c>
      <c r="AH141" s="214" t="s">
        <v>138</v>
      </c>
      <c r="AI141" s="210">
        <v>0</v>
      </c>
      <c r="AJ141" s="196"/>
      <c r="AK141" s="196"/>
      <c r="AL141" s="204" t="e">
        <f t="shared" si="46"/>
        <v>#DIV/0!</v>
      </c>
      <c r="AM141" s="204" t="e">
        <f t="shared" ref="AM141:AM150" si="62">+(AK141/AI141)</f>
        <v>#DIV/0!</v>
      </c>
      <c r="AN141" s="204">
        <f t="shared" ref="AN141:AN150" si="63">+(AJ141+AA141)/T141</f>
        <v>0</v>
      </c>
      <c r="AO141" s="204" t="e">
        <f t="shared" ref="AO141:AO150" si="64">+(AK141+AB141)/V141</f>
        <v>#DIV/0!</v>
      </c>
      <c r="AP141" s="215">
        <v>1</v>
      </c>
      <c r="AQ141" s="214" t="s">
        <v>138</v>
      </c>
      <c r="AR141" s="210">
        <v>0</v>
      </c>
      <c r="AS141" s="196"/>
      <c r="AT141" s="196"/>
      <c r="AU141" s="204">
        <f t="shared" si="47"/>
        <v>0</v>
      </c>
      <c r="AV141" s="204" t="e">
        <f t="shared" si="48"/>
        <v>#DIV/0!</v>
      </c>
      <c r="AW141" s="204">
        <f t="shared" si="49"/>
        <v>0</v>
      </c>
      <c r="AX141" s="204" t="e">
        <f t="shared" si="50"/>
        <v>#DIV/0!</v>
      </c>
      <c r="AY141" s="215">
        <v>0</v>
      </c>
      <c r="AZ141" s="214" t="s">
        <v>138</v>
      </c>
      <c r="BA141" s="210">
        <v>0</v>
      </c>
      <c r="BB141" s="196"/>
      <c r="BC141" s="196"/>
      <c r="BD141" s="216" t="e">
        <f t="shared" si="51"/>
        <v>#DIV/0!</v>
      </c>
      <c r="BE141" s="216" t="e">
        <f t="shared" si="52"/>
        <v>#DIV/0!</v>
      </c>
      <c r="BF141" s="216">
        <f t="shared" si="53"/>
        <v>0</v>
      </c>
      <c r="BG141" s="216" t="e">
        <f t="shared" si="54"/>
        <v>#DIV/0!</v>
      </c>
      <c r="BH141" s="207" t="str">
        <f t="shared" ref="BH141:BH150" si="65">IF(AND(X141=0,AA141=0),"No Prog ni Ejec",IF(X141=0,CONCATENATE("No Prog, Ejec=  ",AA141),AA141/X141))</f>
        <v>No Prog ni Ejec</v>
      </c>
      <c r="BI141" s="207" t="str">
        <f t="shared" ref="BI141:BI150" si="66">IF(AND(Z141=0,AB141=0),"No Prog ni Ejec",IF(Z141=0,CONCATENATE("No Prog, Ejec=  ",AB141),AB141/Z141))</f>
        <v>No Prog ni Ejec</v>
      </c>
      <c r="BJ141" s="207" t="str">
        <f t="shared" ref="BJ141:BJ150" si="67">IF(AND(AG141=0,AJ141=0),"No Prog ni Ejec",IF(AG141=0,CONCATENATE("No Prog, Ejec=  ",AJ141),AJ141/AG141))</f>
        <v>No Prog ni Ejec</v>
      </c>
      <c r="BK141" s="207" t="str">
        <f t="shared" ref="BK141:BK150" si="68">IF(AND(AI141=0,AK141=0),"No Prog ni Ejec",IF(AI141=0,CONCATENATE("No Prog, Ejec=  ",AK141),AK141/AI141))</f>
        <v>No Prog ni Ejec</v>
      </c>
      <c r="BL141" s="207">
        <f t="shared" si="55"/>
        <v>0</v>
      </c>
      <c r="BM141" s="207" t="str">
        <f t="shared" si="56"/>
        <v>No Prog ni Ejec</v>
      </c>
      <c r="BN141" s="207" t="str">
        <f t="shared" ref="BN141:BN150" si="69">IF(AND(AY141=0,BB141=0),"No Prog ni Ejec",IF(AY141=0,CONCATENATE("No Prog, Ejec=  ",BB141),BB141/AY141))</f>
        <v>No Prog ni Ejec</v>
      </c>
      <c r="BO141" s="207" t="str">
        <f t="shared" ref="BO141:BO150" si="70">IF(AND(BA141=0,BC141=0),"No Prog ni Ejec",IF(BA141=0,CONCATENATE("No Prog, Ejec=  ",BC141),BC141/BA141))</f>
        <v>No Prog ni Ejec</v>
      </c>
      <c r="BP141" s="206"/>
      <c r="BQ141" s="277">
        <v>5</v>
      </c>
      <c r="BR141" s="218">
        <f t="shared" si="59"/>
        <v>0.33333333333333331</v>
      </c>
      <c r="BS141" s="219" t="str">
        <f t="shared" si="57"/>
        <v>Elaboración del Informe de Rendición de Cuentas al Congreso de la República 2017-2018</v>
      </c>
      <c r="BT141" s="195">
        <f t="shared" si="58"/>
        <v>0</v>
      </c>
      <c r="BU141" s="196"/>
      <c r="BV141" s="196"/>
      <c r="BW141" s="196"/>
      <c r="BX141" s="196"/>
      <c r="BY141" s="196"/>
      <c r="BZ141" s="19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28.25" x14ac:dyDescent="0.25">
      <c r="A142" s="197">
        <v>11700</v>
      </c>
      <c r="B142" s="194" t="s">
        <v>29</v>
      </c>
      <c r="C142" s="198" t="s">
        <v>328</v>
      </c>
      <c r="D142" s="194" t="s">
        <v>256</v>
      </c>
      <c r="E142" s="198" t="s">
        <v>665</v>
      </c>
      <c r="F142" s="194" t="s">
        <v>667</v>
      </c>
      <c r="G142" s="209" t="s">
        <v>123</v>
      </c>
      <c r="H142" s="216">
        <v>1</v>
      </c>
      <c r="I142" s="198" t="s">
        <v>666</v>
      </c>
      <c r="J142" s="194" t="s">
        <v>471</v>
      </c>
      <c r="K142" s="210">
        <v>77284920</v>
      </c>
      <c r="L142" s="216">
        <v>1</v>
      </c>
      <c r="M142" s="194" t="s">
        <v>45</v>
      </c>
      <c r="N142" s="194" t="s">
        <v>54</v>
      </c>
      <c r="O142" s="194" t="s">
        <v>37</v>
      </c>
      <c r="P142" s="194" t="s">
        <v>38</v>
      </c>
      <c r="Q142" s="194" t="s">
        <v>218</v>
      </c>
      <c r="R142" s="194" t="s">
        <v>379</v>
      </c>
      <c r="S142" s="194" t="s">
        <v>104</v>
      </c>
      <c r="T142" s="216">
        <v>1</v>
      </c>
      <c r="U142" s="212" t="str">
        <f t="shared" ref="U142:V150" si="71">+J142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13">
        <f t="shared" si="71"/>
        <v>77284920</v>
      </c>
      <c r="W142" s="222" t="s">
        <v>114</v>
      </c>
      <c r="X142" s="216">
        <v>0.25</v>
      </c>
      <c r="Y142" s="214" t="s">
        <v>471</v>
      </c>
      <c r="Z142" s="210">
        <v>19321230</v>
      </c>
      <c r="AA142" s="196"/>
      <c r="AB142" s="196"/>
      <c r="AC142" s="204">
        <f t="shared" ref="AC142:AC150" si="72">+(AA142/X142)</f>
        <v>0</v>
      </c>
      <c r="AD142" s="216">
        <f t="shared" ref="AD142:AD150" si="73">+(AB142/Z142)</f>
        <v>0</v>
      </c>
      <c r="AE142" s="216">
        <f t="shared" si="60"/>
        <v>0</v>
      </c>
      <c r="AF142" s="216">
        <f t="shared" si="61"/>
        <v>0</v>
      </c>
      <c r="AG142" s="216">
        <v>0.25</v>
      </c>
      <c r="AH142" s="214" t="s">
        <v>471</v>
      </c>
      <c r="AI142" s="210">
        <v>19321230</v>
      </c>
      <c r="AJ142" s="196"/>
      <c r="AK142" s="196"/>
      <c r="AL142" s="216">
        <f t="shared" ref="AL142:AL150" si="74">+(AJ142/AG142)</f>
        <v>0</v>
      </c>
      <c r="AM142" s="216">
        <f t="shared" si="62"/>
        <v>0</v>
      </c>
      <c r="AN142" s="216">
        <f t="shared" si="63"/>
        <v>0</v>
      </c>
      <c r="AO142" s="216">
        <f t="shared" si="64"/>
        <v>0</v>
      </c>
      <c r="AP142" s="216">
        <v>0.25</v>
      </c>
      <c r="AQ142" s="214" t="s">
        <v>471</v>
      </c>
      <c r="AR142" s="210">
        <v>19321230</v>
      </c>
      <c r="AS142" s="196"/>
      <c r="AT142" s="196"/>
      <c r="AU142" s="216">
        <f t="shared" ref="AU142:AU150" si="75">+(AS142/AP142)</f>
        <v>0</v>
      </c>
      <c r="AV142" s="216">
        <f t="shared" ref="AV142:AV150" si="76">+(AT142/AR142)</f>
        <v>0</v>
      </c>
      <c r="AW142" s="216">
        <f t="shared" ref="AW142:AW150" si="77">+(AJ142+AA142+AS142)/T142</f>
        <v>0</v>
      </c>
      <c r="AX142" s="216">
        <f t="shared" ref="AX142:AX150" si="78">+(AK142+AB142+AT142)/V142</f>
        <v>0</v>
      </c>
      <c r="AY142" s="216">
        <v>0.25</v>
      </c>
      <c r="AZ142" s="214" t="s">
        <v>471</v>
      </c>
      <c r="BA142" s="210">
        <v>19321230</v>
      </c>
      <c r="BB142" s="196"/>
      <c r="BC142" s="196"/>
      <c r="BD142" s="216">
        <f t="shared" ref="BD142:BD150" si="79">+(BB142/AY142)</f>
        <v>0</v>
      </c>
      <c r="BE142" s="216">
        <f t="shared" ref="BE142:BE150" si="80">+(BC142/BA142)</f>
        <v>0</v>
      </c>
      <c r="BF142" s="216">
        <f t="shared" ref="BF142:BF150" si="81">+(AJ142+AA142+AS142+BB142)/T142</f>
        <v>0</v>
      </c>
      <c r="BG142" s="216">
        <f t="shared" ref="BG142:BG150" si="82">+(AK142+AB142+AT142+BC142)/V142</f>
        <v>0</v>
      </c>
      <c r="BH142" s="207">
        <f t="shared" si="65"/>
        <v>0</v>
      </c>
      <c r="BI142" s="207">
        <f t="shared" si="66"/>
        <v>0</v>
      </c>
      <c r="BJ142" s="207">
        <f t="shared" si="67"/>
        <v>0</v>
      </c>
      <c r="BK142" s="207">
        <f t="shared" si="68"/>
        <v>0</v>
      </c>
      <c r="BL142" s="207">
        <f t="shared" ref="BL142:BL150" si="83">IF(AND(AP142=0,AS142=0),"No Prog ni Ejec",IF(AP142=0,CONCATENATE("No Prog, Ejec=  ",AS142),AS142/AP142))</f>
        <v>0</v>
      </c>
      <c r="BM142" s="207">
        <f t="shared" ref="BM142:BM150" si="84">IF(AND(AR142=0,AT142=0),"No Prog ni Ejec",IF(AR142=0,CONCATENATE("No Prog, Ejec=  ",AT142),AT142/AR142))</f>
        <v>0</v>
      </c>
      <c r="BN142" s="207">
        <f t="shared" si="69"/>
        <v>0</v>
      </c>
      <c r="BO142" s="207">
        <f t="shared" si="70"/>
        <v>0</v>
      </c>
      <c r="BP142" s="206"/>
      <c r="BQ142" s="277">
        <v>7</v>
      </c>
      <c r="BR142" s="208">
        <f t="shared" si="59"/>
        <v>0.58333333333333337</v>
      </c>
      <c r="BS142" s="219" t="str">
        <f t="shared" si="5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195">
        <f t="shared" si="58"/>
        <v>45082870</v>
      </c>
      <c r="BU142" s="196"/>
      <c r="BV142" s="196"/>
      <c r="BW142" s="196"/>
      <c r="BX142" s="196"/>
      <c r="BY142" s="196"/>
      <c r="BZ142" s="19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99.75" x14ac:dyDescent="0.25">
      <c r="A143" s="197">
        <v>11700</v>
      </c>
      <c r="B143" s="194" t="s">
        <v>29</v>
      </c>
      <c r="C143" s="198" t="s">
        <v>328</v>
      </c>
      <c r="D143" s="194" t="s">
        <v>256</v>
      </c>
      <c r="E143" s="198" t="s">
        <v>669</v>
      </c>
      <c r="F143" s="194" t="s">
        <v>671</v>
      </c>
      <c r="G143" s="209" t="s">
        <v>123</v>
      </c>
      <c r="H143" s="216">
        <v>1</v>
      </c>
      <c r="I143" s="198" t="s">
        <v>668</v>
      </c>
      <c r="J143" s="194" t="s">
        <v>472</v>
      </c>
      <c r="K143" s="210">
        <v>17000000</v>
      </c>
      <c r="L143" s="216">
        <v>1</v>
      </c>
      <c r="M143" s="194" t="s">
        <v>45</v>
      </c>
      <c r="N143" s="194" t="s">
        <v>54</v>
      </c>
      <c r="O143" s="194" t="s">
        <v>37</v>
      </c>
      <c r="P143" s="194" t="s">
        <v>38</v>
      </c>
      <c r="Q143" s="194" t="s">
        <v>218</v>
      </c>
      <c r="R143" s="194" t="s">
        <v>379</v>
      </c>
      <c r="S143" s="194" t="s">
        <v>104</v>
      </c>
      <c r="T143" s="216">
        <v>1</v>
      </c>
      <c r="U143" s="212" t="str">
        <f t="shared" si="71"/>
        <v xml:space="preserve">Realizar el estudio de seguridad, visita domiciliaria y verificación de la información de la Hoja de Vida y antecedentes financieros de los funcionarios de la entidad. </v>
      </c>
      <c r="V143" s="213">
        <f t="shared" si="71"/>
        <v>17000000</v>
      </c>
      <c r="W143" s="222" t="s">
        <v>114</v>
      </c>
      <c r="X143" s="216">
        <v>0.25</v>
      </c>
      <c r="Y143" s="214" t="s">
        <v>472</v>
      </c>
      <c r="Z143" s="210">
        <v>4250000</v>
      </c>
      <c r="AA143" s="196"/>
      <c r="AB143" s="196"/>
      <c r="AC143" s="204">
        <f t="shared" si="72"/>
        <v>0</v>
      </c>
      <c r="AD143" s="216">
        <f t="shared" si="73"/>
        <v>0</v>
      </c>
      <c r="AE143" s="216">
        <f t="shared" si="60"/>
        <v>0</v>
      </c>
      <c r="AF143" s="216">
        <f t="shared" si="61"/>
        <v>0</v>
      </c>
      <c r="AG143" s="216">
        <v>0.25</v>
      </c>
      <c r="AH143" s="214" t="s">
        <v>472</v>
      </c>
      <c r="AI143" s="210">
        <v>4250000</v>
      </c>
      <c r="AJ143" s="196"/>
      <c r="AK143" s="196"/>
      <c r="AL143" s="216">
        <f t="shared" si="74"/>
        <v>0</v>
      </c>
      <c r="AM143" s="216">
        <f t="shared" si="62"/>
        <v>0</v>
      </c>
      <c r="AN143" s="216">
        <f t="shared" si="63"/>
        <v>0</v>
      </c>
      <c r="AO143" s="216">
        <f t="shared" si="64"/>
        <v>0</v>
      </c>
      <c r="AP143" s="216">
        <v>0.25</v>
      </c>
      <c r="AQ143" s="214" t="s">
        <v>472</v>
      </c>
      <c r="AR143" s="210">
        <v>4250000</v>
      </c>
      <c r="AS143" s="196"/>
      <c r="AT143" s="196"/>
      <c r="AU143" s="216">
        <f t="shared" si="75"/>
        <v>0</v>
      </c>
      <c r="AV143" s="216">
        <f t="shared" si="76"/>
        <v>0</v>
      </c>
      <c r="AW143" s="216">
        <f t="shared" si="77"/>
        <v>0</v>
      </c>
      <c r="AX143" s="216">
        <f t="shared" si="78"/>
        <v>0</v>
      </c>
      <c r="AY143" s="216">
        <v>0.25</v>
      </c>
      <c r="AZ143" s="214" t="s">
        <v>472</v>
      </c>
      <c r="BA143" s="210">
        <v>4250000</v>
      </c>
      <c r="BB143" s="196"/>
      <c r="BC143" s="196"/>
      <c r="BD143" s="216">
        <f t="shared" si="79"/>
        <v>0</v>
      </c>
      <c r="BE143" s="216">
        <f t="shared" si="80"/>
        <v>0</v>
      </c>
      <c r="BF143" s="216">
        <f t="shared" si="81"/>
        <v>0</v>
      </c>
      <c r="BG143" s="216">
        <f t="shared" si="82"/>
        <v>0</v>
      </c>
      <c r="BH143" s="207">
        <f t="shared" si="65"/>
        <v>0</v>
      </c>
      <c r="BI143" s="207">
        <f t="shared" si="66"/>
        <v>0</v>
      </c>
      <c r="BJ143" s="207">
        <f t="shared" si="67"/>
        <v>0</v>
      </c>
      <c r="BK143" s="207">
        <f t="shared" si="68"/>
        <v>0</v>
      </c>
      <c r="BL143" s="207">
        <f t="shared" si="83"/>
        <v>0</v>
      </c>
      <c r="BM143" s="207">
        <f t="shared" si="84"/>
        <v>0</v>
      </c>
      <c r="BN143" s="207">
        <f t="shared" si="69"/>
        <v>0</v>
      </c>
      <c r="BO143" s="207">
        <f t="shared" si="70"/>
        <v>0</v>
      </c>
      <c r="BP143" s="206"/>
      <c r="BQ143" s="277">
        <v>7</v>
      </c>
      <c r="BR143" s="208">
        <f t="shared" si="59"/>
        <v>0.58333333333333337</v>
      </c>
      <c r="BS143" s="219" t="str">
        <f t="shared" ref="BS143:BS150" si="85">+U143</f>
        <v xml:space="preserve">Realizar el estudio de seguridad, visita domiciliaria y verificación de la información de la Hoja de Vida y antecedentes financieros de los funcionarios de la entidad. </v>
      </c>
      <c r="BT143" s="195">
        <f t="shared" si="58"/>
        <v>9916666.666666666</v>
      </c>
      <c r="BU143" s="196"/>
      <c r="BV143" s="196"/>
      <c r="BW143" s="196"/>
      <c r="BX143" s="196"/>
      <c r="BY143" s="196"/>
      <c r="BZ143" s="19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71.25" x14ac:dyDescent="0.25">
      <c r="A144" s="197">
        <v>11900</v>
      </c>
      <c r="B144" s="194" t="s">
        <v>349</v>
      </c>
      <c r="C144" s="198" t="s">
        <v>357</v>
      </c>
      <c r="D144" s="194" t="s">
        <v>146</v>
      </c>
      <c r="E144" s="1309" t="s">
        <v>692</v>
      </c>
      <c r="F144" s="1327" t="s">
        <v>838</v>
      </c>
      <c r="G144" s="1309" t="s">
        <v>123</v>
      </c>
      <c r="H144" s="216">
        <v>1</v>
      </c>
      <c r="I144" s="1309" t="s">
        <v>693</v>
      </c>
      <c r="J144" s="1319" t="s">
        <v>836</v>
      </c>
      <c r="K144" s="1313">
        <v>0</v>
      </c>
      <c r="L144" s="248">
        <v>1</v>
      </c>
      <c r="M144" s="1319" t="s">
        <v>46</v>
      </c>
      <c r="N144" s="1319" t="s">
        <v>74</v>
      </c>
      <c r="O144" s="1319" t="s">
        <v>21</v>
      </c>
      <c r="P144" s="1319" t="s">
        <v>36</v>
      </c>
      <c r="Q144" s="1319" t="s">
        <v>229</v>
      </c>
      <c r="R144" s="194" t="s">
        <v>703</v>
      </c>
      <c r="S144" s="194" t="s">
        <v>99</v>
      </c>
      <c r="T144" s="211">
        <v>1</v>
      </c>
      <c r="U144" s="1321" t="str">
        <f t="shared" si="71"/>
        <v xml:space="preserve">
Expedición actos administrativos iniciales ordenando el cobro.</v>
      </c>
      <c r="V144" s="1307">
        <f t="shared" si="71"/>
        <v>0</v>
      </c>
      <c r="W144" s="1309" t="s">
        <v>117</v>
      </c>
      <c r="X144" s="216">
        <v>0.1</v>
      </c>
      <c r="Y144" s="1311" t="s">
        <v>702</v>
      </c>
      <c r="Z144" s="1313">
        <v>0</v>
      </c>
      <c r="AA144" s="196"/>
      <c r="AB144" s="1315"/>
      <c r="AC144" s="1325">
        <f>+(AA144/X144)</f>
        <v>0</v>
      </c>
      <c r="AD144" s="1323" t="e">
        <f>+(AA145/X145)</f>
        <v>#DIV/0!</v>
      </c>
      <c r="AE144" s="1323">
        <f>+(AA144/T144)</f>
        <v>0</v>
      </c>
      <c r="AF144" s="1323" t="e">
        <f>+(X145/T145)</f>
        <v>#DIV/0!</v>
      </c>
      <c r="AG144" s="216">
        <v>0.3</v>
      </c>
      <c r="AH144" s="1317" t="s">
        <v>702</v>
      </c>
      <c r="AI144" s="1313">
        <v>0</v>
      </c>
      <c r="AJ144" s="196"/>
      <c r="AK144" s="1315"/>
      <c r="AL144" s="1323">
        <f>+(AJ144/AG144)</f>
        <v>0</v>
      </c>
      <c r="AM144" s="1323" t="e">
        <f>+(AJ145/AG145)</f>
        <v>#DIV/0!</v>
      </c>
      <c r="AN144" s="1323">
        <f>+(AJ144+AA144)/T144</f>
        <v>0</v>
      </c>
      <c r="AO144" s="1323" t="e">
        <f>+(AG145/AC145)</f>
        <v>#DIV/0!</v>
      </c>
      <c r="AP144" s="216">
        <v>0.3</v>
      </c>
      <c r="AQ144" s="214" t="s">
        <v>702</v>
      </c>
      <c r="AR144" s="210">
        <v>0</v>
      </c>
      <c r="AS144" s="196"/>
      <c r="AT144" s="196"/>
      <c r="AU144" s="216">
        <f t="shared" si="75"/>
        <v>0</v>
      </c>
      <c r="AV144" s="216" t="e">
        <f t="shared" si="76"/>
        <v>#DIV/0!</v>
      </c>
      <c r="AW144" s="216">
        <f t="shared" si="77"/>
        <v>0</v>
      </c>
      <c r="AX144" s="216" t="e">
        <f t="shared" si="78"/>
        <v>#DIV/0!</v>
      </c>
      <c r="AY144" s="216">
        <v>0.3</v>
      </c>
      <c r="AZ144" s="214" t="s">
        <v>702</v>
      </c>
      <c r="BA144" s="210">
        <v>0</v>
      </c>
      <c r="BB144" s="196"/>
      <c r="BC144" s="196"/>
      <c r="BD144" s="216">
        <f t="shared" si="79"/>
        <v>0</v>
      </c>
      <c r="BE144" s="216" t="e">
        <f t="shared" si="80"/>
        <v>#DIV/0!</v>
      </c>
      <c r="BF144" s="216">
        <f t="shared" si="81"/>
        <v>0</v>
      </c>
      <c r="BG144" s="216" t="e">
        <f t="shared" si="82"/>
        <v>#DIV/0!</v>
      </c>
      <c r="BH144" s="217">
        <f t="shared" si="65"/>
        <v>0</v>
      </c>
      <c r="BI144" s="217" t="str">
        <f t="shared" si="66"/>
        <v>No Prog ni Ejec</v>
      </c>
      <c r="BJ144" s="217">
        <f t="shared" si="67"/>
        <v>0</v>
      </c>
      <c r="BK144" s="217" t="str">
        <f t="shared" si="68"/>
        <v>No Prog ni Ejec</v>
      </c>
      <c r="BL144" s="217">
        <f t="shared" si="83"/>
        <v>0</v>
      </c>
      <c r="BM144" s="217" t="str">
        <f t="shared" si="84"/>
        <v>No Prog ni Ejec</v>
      </c>
      <c r="BN144" s="217">
        <f t="shared" si="69"/>
        <v>0</v>
      </c>
      <c r="BO144" s="217" t="str">
        <f t="shared" si="70"/>
        <v>No Prog ni Ejec</v>
      </c>
      <c r="BP144" s="206"/>
      <c r="BQ144" s="277">
        <v>31</v>
      </c>
      <c r="BR144" s="208">
        <f t="shared" si="59"/>
        <v>0.5</v>
      </c>
      <c r="BS144" s="1299" t="str">
        <f t="shared" si="85"/>
        <v xml:space="preserve">
Expedición actos administrativos iniciales ordenando el cobro.</v>
      </c>
      <c r="BT144" s="195">
        <f t="shared" si="58"/>
        <v>0</v>
      </c>
      <c r="BU144" s="196"/>
      <c r="BV144" s="196"/>
      <c r="BW144" s="196"/>
      <c r="BX144" s="196"/>
      <c r="BY144" s="196"/>
      <c r="BZ144" s="19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28.25" x14ac:dyDescent="0.25">
      <c r="A145" s="197">
        <v>11900</v>
      </c>
      <c r="B145" s="194" t="s">
        <v>349</v>
      </c>
      <c r="C145" s="198" t="s">
        <v>357</v>
      </c>
      <c r="D145" s="194" t="s">
        <v>146</v>
      </c>
      <c r="E145" s="1310"/>
      <c r="F145" s="1328"/>
      <c r="G145" s="1310"/>
      <c r="H145" s="200"/>
      <c r="I145" s="1310"/>
      <c r="J145" s="1320"/>
      <c r="K145" s="1314"/>
      <c r="L145" s="203"/>
      <c r="M145" s="1320"/>
      <c r="N145" s="1320"/>
      <c r="O145" s="1320"/>
      <c r="P145" s="1320"/>
      <c r="Q145" s="1320"/>
      <c r="R145" s="201" t="s">
        <v>840</v>
      </c>
      <c r="S145" s="194" t="s">
        <v>99</v>
      </c>
      <c r="T145" s="202"/>
      <c r="U145" s="1322"/>
      <c r="V145" s="1308"/>
      <c r="W145" s="1310"/>
      <c r="X145" s="200"/>
      <c r="Y145" s="1312"/>
      <c r="Z145" s="1314"/>
      <c r="AA145" s="196"/>
      <c r="AB145" s="1316"/>
      <c r="AC145" s="1326"/>
      <c r="AD145" s="1324"/>
      <c r="AE145" s="1324"/>
      <c r="AF145" s="1324"/>
      <c r="AG145" s="200"/>
      <c r="AH145" s="1318"/>
      <c r="AI145" s="1314"/>
      <c r="AJ145" s="196"/>
      <c r="AK145" s="1316"/>
      <c r="AL145" s="1324"/>
      <c r="AM145" s="1324"/>
      <c r="AN145" s="1324"/>
      <c r="AO145" s="1324"/>
      <c r="AP145" s="200"/>
      <c r="AQ145" s="214"/>
      <c r="AR145" s="210"/>
      <c r="AS145" s="196"/>
      <c r="AT145" s="196"/>
      <c r="AU145" s="216"/>
      <c r="AV145" s="216"/>
      <c r="AW145" s="216"/>
      <c r="AX145" s="216"/>
      <c r="AY145" s="200"/>
      <c r="AZ145" s="214"/>
      <c r="BA145" s="210"/>
      <c r="BB145" s="196"/>
      <c r="BC145" s="196"/>
      <c r="BD145" s="216"/>
      <c r="BE145" s="216"/>
      <c r="BF145" s="216"/>
      <c r="BG145" s="216"/>
      <c r="BH145" s="217"/>
      <c r="BI145" s="217"/>
      <c r="BJ145" s="217"/>
      <c r="BK145" s="217"/>
      <c r="BL145" s="217"/>
      <c r="BM145" s="217"/>
      <c r="BN145" s="217"/>
      <c r="BO145" s="217"/>
      <c r="BP145" s="206"/>
      <c r="BQ145" s="277">
        <v>31</v>
      </c>
      <c r="BR145" s="208">
        <f t="shared" si="59"/>
        <v>0</v>
      </c>
      <c r="BS145" s="1299"/>
      <c r="BT145" s="195">
        <f t="shared" si="58"/>
        <v>0</v>
      </c>
      <c r="BU145" s="196"/>
      <c r="BV145" s="196"/>
      <c r="BW145" s="196"/>
      <c r="BX145" s="196"/>
      <c r="BY145" s="196"/>
      <c r="BZ145" s="19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7" x14ac:dyDescent="0.25">
      <c r="A146" s="197">
        <v>11900</v>
      </c>
      <c r="B146" s="194" t="s">
        <v>349</v>
      </c>
      <c r="C146" s="198" t="s">
        <v>357</v>
      </c>
      <c r="D146" s="194" t="s">
        <v>146</v>
      </c>
      <c r="E146" s="1309" t="s">
        <v>719</v>
      </c>
      <c r="F146" s="1319" t="s">
        <v>704</v>
      </c>
      <c r="G146" s="1309" t="s">
        <v>123</v>
      </c>
      <c r="H146" s="216">
        <v>1</v>
      </c>
      <c r="I146" s="1309" t="s">
        <v>720</v>
      </c>
      <c r="J146" s="1319" t="s">
        <v>764</v>
      </c>
      <c r="K146" s="1313">
        <v>0</v>
      </c>
      <c r="L146" s="211">
        <v>1</v>
      </c>
      <c r="M146" s="1319" t="s">
        <v>46</v>
      </c>
      <c r="N146" s="1319" t="s">
        <v>74</v>
      </c>
      <c r="O146" s="1319" t="s">
        <v>21</v>
      </c>
      <c r="P146" s="1319" t="s">
        <v>36</v>
      </c>
      <c r="Q146" s="1319" t="s">
        <v>229</v>
      </c>
      <c r="R146" s="194" t="s">
        <v>706</v>
      </c>
      <c r="S146" s="194" t="s">
        <v>99</v>
      </c>
      <c r="T146" s="211">
        <v>1</v>
      </c>
      <c r="U146" s="1321" t="str">
        <f>+J146</f>
        <v>Adelantar proceso coactivo a partir de la  ejecutoria del acto administrativo que ordenó el cobro.</v>
      </c>
      <c r="V146" s="1307">
        <f t="shared" si="71"/>
        <v>0</v>
      </c>
      <c r="W146" s="1309" t="s">
        <v>117</v>
      </c>
      <c r="X146" s="216">
        <v>0.25</v>
      </c>
      <c r="Y146" s="1311" t="s">
        <v>764</v>
      </c>
      <c r="Z146" s="1313">
        <v>0</v>
      </c>
      <c r="AA146" s="196"/>
      <c r="AB146" s="1315"/>
      <c r="AC146" s="204">
        <f t="shared" si="72"/>
        <v>0</v>
      </c>
      <c r="AD146" s="216" t="e">
        <f t="shared" si="73"/>
        <v>#DIV/0!</v>
      </c>
      <c r="AE146" s="216">
        <f t="shared" si="60"/>
        <v>0</v>
      </c>
      <c r="AF146" s="216" t="e">
        <f t="shared" si="61"/>
        <v>#DIV/0!</v>
      </c>
      <c r="AG146" s="216">
        <v>0.25</v>
      </c>
      <c r="AH146" s="1317" t="s">
        <v>764</v>
      </c>
      <c r="AI146" s="210">
        <v>0</v>
      </c>
      <c r="AJ146" s="196"/>
      <c r="AK146" s="196"/>
      <c r="AL146" s="216">
        <f t="shared" si="74"/>
        <v>0</v>
      </c>
      <c r="AM146" s="216" t="e">
        <f t="shared" si="62"/>
        <v>#DIV/0!</v>
      </c>
      <c r="AN146" s="216">
        <f t="shared" si="63"/>
        <v>0</v>
      </c>
      <c r="AO146" s="216" t="e">
        <f t="shared" si="64"/>
        <v>#DIV/0!</v>
      </c>
      <c r="AP146" s="216">
        <v>0.25</v>
      </c>
      <c r="AQ146" s="214" t="s">
        <v>764</v>
      </c>
      <c r="AR146" s="210">
        <v>0</v>
      </c>
      <c r="AS146" s="196"/>
      <c r="AT146" s="196"/>
      <c r="AU146" s="216">
        <f t="shared" si="75"/>
        <v>0</v>
      </c>
      <c r="AV146" s="216" t="e">
        <f t="shared" si="76"/>
        <v>#DIV/0!</v>
      </c>
      <c r="AW146" s="216">
        <f t="shared" si="77"/>
        <v>0</v>
      </c>
      <c r="AX146" s="216" t="e">
        <f t="shared" si="78"/>
        <v>#DIV/0!</v>
      </c>
      <c r="AY146" s="216">
        <v>0.25</v>
      </c>
      <c r="AZ146" s="214" t="s">
        <v>764</v>
      </c>
      <c r="BA146" s="210">
        <v>0</v>
      </c>
      <c r="BB146" s="196"/>
      <c r="BC146" s="196"/>
      <c r="BD146" s="216">
        <f t="shared" si="79"/>
        <v>0</v>
      </c>
      <c r="BE146" s="216" t="e">
        <f t="shared" si="80"/>
        <v>#DIV/0!</v>
      </c>
      <c r="BF146" s="216">
        <f t="shared" si="81"/>
        <v>0</v>
      </c>
      <c r="BG146" s="216" t="e">
        <f t="shared" si="82"/>
        <v>#DIV/0!</v>
      </c>
      <c r="BH146" s="217">
        <f t="shared" si="65"/>
        <v>0</v>
      </c>
      <c r="BI146" s="217" t="str">
        <f t="shared" si="66"/>
        <v>No Prog ni Ejec</v>
      </c>
      <c r="BJ146" s="217">
        <f t="shared" si="67"/>
        <v>0</v>
      </c>
      <c r="BK146" s="217" t="str">
        <f t="shared" si="68"/>
        <v>No Prog ni Ejec</v>
      </c>
      <c r="BL146" s="217">
        <f t="shared" si="83"/>
        <v>0</v>
      </c>
      <c r="BM146" s="217" t="str">
        <f t="shared" si="84"/>
        <v>No Prog ni Ejec</v>
      </c>
      <c r="BN146" s="217">
        <f t="shared" si="69"/>
        <v>0</v>
      </c>
      <c r="BO146" s="217" t="str">
        <f t="shared" si="70"/>
        <v>No Prog ni Ejec</v>
      </c>
      <c r="BP146" s="206"/>
      <c r="BQ146" s="277">
        <v>31</v>
      </c>
      <c r="BR146" s="208">
        <f t="shared" si="59"/>
        <v>0.58333333333333337</v>
      </c>
      <c r="BS146" s="1299" t="str">
        <f t="shared" si="85"/>
        <v>Adelantar proceso coactivo a partir de la  ejecutoria del acto administrativo que ordenó el cobro.</v>
      </c>
      <c r="BT146" s="195">
        <f t="shared" si="58"/>
        <v>0</v>
      </c>
      <c r="BU146" s="196"/>
      <c r="BV146" s="196"/>
      <c r="BW146" s="196"/>
      <c r="BX146" s="196"/>
      <c r="BY146" s="196"/>
      <c r="BZ146" s="19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42.5" x14ac:dyDescent="0.25">
      <c r="A147" s="197">
        <v>11900</v>
      </c>
      <c r="B147" s="194" t="s">
        <v>349</v>
      </c>
      <c r="C147" s="198" t="s">
        <v>357</v>
      </c>
      <c r="D147" s="194" t="s">
        <v>146</v>
      </c>
      <c r="E147" s="1310"/>
      <c r="F147" s="1320"/>
      <c r="G147" s="1310"/>
      <c r="H147" s="200"/>
      <c r="I147" s="1310"/>
      <c r="J147" s="1320"/>
      <c r="K147" s="1314"/>
      <c r="L147" s="202"/>
      <c r="M147" s="1320"/>
      <c r="N147" s="1320"/>
      <c r="O147" s="1320"/>
      <c r="P147" s="1320"/>
      <c r="Q147" s="1320"/>
      <c r="R147" s="201" t="s">
        <v>839</v>
      </c>
      <c r="S147" s="194" t="s">
        <v>99</v>
      </c>
      <c r="T147" s="202"/>
      <c r="U147" s="1322"/>
      <c r="V147" s="1308"/>
      <c r="W147" s="1310"/>
      <c r="X147" s="200"/>
      <c r="Y147" s="1312"/>
      <c r="Z147" s="1314"/>
      <c r="AA147" s="196"/>
      <c r="AB147" s="1316"/>
      <c r="AC147" s="204"/>
      <c r="AD147" s="216"/>
      <c r="AE147" s="216"/>
      <c r="AF147" s="216"/>
      <c r="AG147" s="200"/>
      <c r="AH147" s="1318"/>
      <c r="AI147" s="210"/>
      <c r="AJ147" s="196"/>
      <c r="AK147" s="196"/>
      <c r="AL147" s="216"/>
      <c r="AM147" s="216"/>
      <c r="AN147" s="216"/>
      <c r="AO147" s="216"/>
      <c r="AP147" s="200"/>
      <c r="AQ147" s="214"/>
      <c r="AR147" s="210"/>
      <c r="AS147" s="196"/>
      <c r="AT147" s="196"/>
      <c r="AU147" s="216"/>
      <c r="AV147" s="216"/>
      <c r="AW147" s="216"/>
      <c r="AX147" s="216"/>
      <c r="AY147" s="200"/>
      <c r="AZ147" s="214"/>
      <c r="BA147" s="210"/>
      <c r="BB147" s="196"/>
      <c r="BC147" s="196"/>
      <c r="BD147" s="216"/>
      <c r="BE147" s="216"/>
      <c r="BF147" s="216"/>
      <c r="BG147" s="216"/>
      <c r="BH147" s="217"/>
      <c r="BI147" s="217"/>
      <c r="BJ147" s="217"/>
      <c r="BK147" s="217"/>
      <c r="BL147" s="217"/>
      <c r="BM147" s="217"/>
      <c r="BN147" s="217"/>
      <c r="BO147" s="217"/>
      <c r="BP147" s="206"/>
      <c r="BQ147" s="277">
        <v>31</v>
      </c>
      <c r="BR147" s="208">
        <f t="shared" si="59"/>
        <v>0</v>
      </c>
      <c r="BS147" s="1299"/>
      <c r="BT147" s="195">
        <f t="shared" si="58"/>
        <v>0</v>
      </c>
      <c r="BU147" s="196"/>
      <c r="BV147" s="196"/>
      <c r="BW147" s="196"/>
      <c r="BX147" s="196"/>
      <c r="BY147" s="196"/>
      <c r="BZ147" s="19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9.5" x14ac:dyDescent="0.25">
      <c r="A148" s="197">
        <v>11900</v>
      </c>
      <c r="B148" s="194" t="s">
        <v>349</v>
      </c>
      <c r="C148" s="198" t="s">
        <v>357</v>
      </c>
      <c r="D148" s="194" t="s">
        <v>146</v>
      </c>
      <c r="E148" s="198" t="s">
        <v>701</v>
      </c>
      <c r="F148" s="194" t="s">
        <v>712</v>
      </c>
      <c r="G148" s="209" t="s">
        <v>123</v>
      </c>
      <c r="H148" s="216">
        <v>1</v>
      </c>
      <c r="I148" s="198" t="s">
        <v>707</v>
      </c>
      <c r="J148" s="194" t="s">
        <v>468</v>
      </c>
      <c r="K148" s="210">
        <v>150000000</v>
      </c>
      <c r="L148" s="211">
        <v>1</v>
      </c>
      <c r="M148" s="194" t="s">
        <v>46</v>
      </c>
      <c r="N148" s="194" t="s">
        <v>74</v>
      </c>
      <c r="O148" s="194" t="s">
        <v>21</v>
      </c>
      <c r="P148" s="194" t="s">
        <v>36</v>
      </c>
      <c r="Q148" s="194" t="s">
        <v>229</v>
      </c>
      <c r="R148" s="194" t="s">
        <v>182</v>
      </c>
      <c r="S148" s="194" t="s">
        <v>99</v>
      </c>
      <c r="T148" s="211">
        <v>1</v>
      </c>
      <c r="U148" s="212" t="str">
        <f t="shared" si="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13">
        <f t="shared" si="71"/>
        <v>150000000</v>
      </c>
      <c r="W148" s="222" t="s">
        <v>114</v>
      </c>
      <c r="X148" s="216">
        <v>0.25</v>
      </c>
      <c r="Y148" s="214" t="s">
        <v>468</v>
      </c>
      <c r="Z148" s="210">
        <f>+V148*X148</f>
        <v>37500000</v>
      </c>
      <c r="AA148" s="196"/>
      <c r="AB148" s="196"/>
      <c r="AC148" s="204">
        <f t="shared" si="72"/>
        <v>0</v>
      </c>
      <c r="AD148" s="216">
        <f t="shared" si="73"/>
        <v>0</v>
      </c>
      <c r="AE148" s="216">
        <f t="shared" si="60"/>
        <v>0</v>
      </c>
      <c r="AF148" s="216">
        <f t="shared" si="61"/>
        <v>0</v>
      </c>
      <c r="AG148" s="216">
        <v>0.25</v>
      </c>
      <c r="AH148" s="214" t="s">
        <v>468</v>
      </c>
      <c r="AI148" s="210">
        <v>37500000</v>
      </c>
      <c r="AJ148" s="196"/>
      <c r="AK148" s="196"/>
      <c r="AL148" s="216">
        <f t="shared" si="74"/>
        <v>0</v>
      </c>
      <c r="AM148" s="216">
        <f t="shared" si="62"/>
        <v>0</v>
      </c>
      <c r="AN148" s="216">
        <f t="shared" si="63"/>
        <v>0</v>
      </c>
      <c r="AO148" s="216">
        <f t="shared" si="64"/>
        <v>0</v>
      </c>
      <c r="AP148" s="216">
        <v>0.25</v>
      </c>
      <c r="AQ148" s="214" t="s">
        <v>468</v>
      </c>
      <c r="AR148" s="210">
        <v>37500000</v>
      </c>
      <c r="AS148" s="196"/>
      <c r="AT148" s="196"/>
      <c r="AU148" s="216">
        <f t="shared" si="75"/>
        <v>0</v>
      </c>
      <c r="AV148" s="216">
        <f t="shared" si="76"/>
        <v>0</v>
      </c>
      <c r="AW148" s="216">
        <f t="shared" si="77"/>
        <v>0</v>
      </c>
      <c r="AX148" s="216">
        <f t="shared" si="78"/>
        <v>0</v>
      </c>
      <c r="AY148" s="216">
        <v>0.25</v>
      </c>
      <c r="AZ148" s="214" t="s">
        <v>468</v>
      </c>
      <c r="BA148" s="210">
        <v>37500000</v>
      </c>
      <c r="BB148" s="196"/>
      <c r="BC148" s="196"/>
      <c r="BD148" s="216">
        <f t="shared" si="79"/>
        <v>0</v>
      </c>
      <c r="BE148" s="216">
        <f t="shared" si="80"/>
        <v>0</v>
      </c>
      <c r="BF148" s="216">
        <f t="shared" si="81"/>
        <v>0</v>
      </c>
      <c r="BG148" s="216">
        <f t="shared" si="82"/>
        <v>0</v>
      </c>
      <c r="BH148" s="243">
        <f t="shared" si="65"/>
        <v>0</v>
      </c>
      <c r="BI148" s="243">
        <f t="shared" si="66"/>
        <v>0</v>
      </c>
      <c r="BJ148" s="243">
        <f t="shared" si="67"/>
        <v>0</v>
      </c>
      <c r="BK148" s="243">
        <f t="shared" si="68"/>
        <v>0</v>
      </c>
      <c r="BL148" s="243">
        <f t="shared" si="83"/>
        <v>0</v>
      </c>
      <c r="BM148" s="243">
        <f t="shared" si="84"/>
        <v>0</v>
      </c>
      <c r="BN148" s="243">
        <f t="shared" si="69"/>
        <v>0</v>
      </c>
      <c r="BO148" s="243">
        <f t="shared" si="70"/>
        <v>0</v>
      </c>
      <c r="BP148" s="206"/>
      <c r="BQ148" s="277">
        <v>32</v>
      </c>
      <c r="BR148" s="208">
        <f t="shared" si="59"/>
        <v>0.58333333333333337</v>
      </c>
      <c r="BS148" s="219" t="str">
        <f t="shared" si="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195">
        <f t="shared" si="58"/>
        <v>87500000</v>
      </c>
      <c r="BU148" s="196"/>
      <c r="BV148" s="196"/>
      <c r="BW148" s="196"/>
      <c r="BX148" s="196"/>
      <c r="BY148" s="196"/>
      <c r="BZ148" s="19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99.5" x14ac:dyDescent="0.25">
      <c r="A149" s="197">
        <v>11900</v>
      </c>
      <c r="B149" s="194" t="s">
        <v>349</v>
      </c>
      <c r="C149" s="198" t="s">
        <v>357</v>
      </c>
      <c r="D149" s="194" t="s">
        <v>146</v>
      </c>
      <c r="E149" s="198" t="s">
        <v>721</v>
      </c>
      <c r="F149" s="194" t="s">
        <v>709</v>
      </c>
      <c r="G149" s="209" t="s">
        <v>123</v>
      </c>
      <c r="H149" s="216">
        <v>1</v>
      </c>
      <c r="I149" s="198" t="s">
        <v>708</v>
      </c>
      <c r="J149" s="194" t="s">
        <v>374</v>
      </c>
      <c r="K149" s="210">
        <v>144328579</v>
      </c>
      <c r="L149" s="211">
        <v>1</v>
      </c>
      <c r="M149" s="194" t="s">
        <v>46</v>
      </c>
      <c r="N149" s="194" t="s">
        <v>74</v>
      </c>
      <c r="O149" s="194" t="s">
        <v>21</v>
      </c>
      <c r="P149" s="194" t="s">
        <v>36</v>
      </c>
      <c r="Q149" s="194" t="s">
        <v>229</v>
      </c>
      <c r="R149" s="194" t="s">
        <v>182</v>
      </c>
      <c r="S149" s="194" t="s">
        <v>99</v>
      </c>
      <c r="T149" s="211">
        <v>1</v>
      </c>
      <c r="U149" s="212" t="str">
        <f t="shared" si="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13">
        <f t="shared" si="71"/>
        <v>144328579</v>
      </c>
      <c r="W149" s="222" t="s">
        <v>114</v>
      </c>
      <c r="X149" s="216">
        <v>0.25</v>
      </c>
      <c r="Y149" s="214" t="s">
        <v>374</v>
      </c>
      <c r="Z149" s="210">
        <f>+V149*X149</f>
        <v>36082144.75</v>
      </c>
      <c r="AA149" s="196"/>
      <c r="AB149" s="196"/>
      <c r="AC149" s="204">
        <f t="shared" si="72"/>
        <v>0</v>
      </c>
      <c r="AD149" s="216">
        <f t="shared" si="73"/>
        <v>0</v>
      </c>
      <c r="AE149" s="216">
        <f t="shared" si="60"/>
        <v>0</v>
      </c>
      <c r="AF149" s="216">
        <f t="shared" si="61"/>
        <v>0</v>
      </c>
      <c r="AG149" s="216">
        <v>0.25</v>
      </c>
      <c r="AH149" s="214" t="s">
        <v>374</v>
      </c>
      <c r="AI149" s="210">
        <v>36082144.75</v>
      </c>
      <c r="AJ149" s="196"/>
      <c r="AK149" s="196"/>
      <c r="AL149" s="216">
        <f>+(AJ149/AG149)</f>
        <v>0</v>
      </c>
      <c r="AM149" s="216">
        <f>+(AK149/AI149)</f>
        <v>0</v>
      </c>
      <c r="AN149" s="216">
        <f>+(AJ149+AA149)/T149</f>
        <v>0</v>
      </c>
      <c r="AO149" s="216">
        <f>+(AK149+AB149)/V149</f>
        <v>0</v>
      </c>
      <c r="AP149" s="216">
        <v>0.25</v>
      </c>
      <c r="AQ149" s="214" t="s">
        <v>374</v>
      </c>
      <c r="AR149" s="210">
        <v>36082144.75</v>
      </c>
      <c r="AS149" s="196"/>
      <c r="AT149" s="196"/>
      <c r="AU149" s="216">
        <f t="shared" si="75"/>
        <v>0</v>
      </c>
      <c r="AV149" s="216">
        <f t="shared" si="76"/>
        <v>0</v>
      </c>
      <c r="AW149" s="216">
        <f t="shared" si="77"/>
        <v>0</v>
      </c>
      <c r="AX149" s="216">
        <f t="shared" si="78"/>
        <v>0</v>
      </c>
      <c r="AY149" s="216">
        <v>0.25</v>
      </c>
      <c r="AZ149" s="214" t="s">
        <v>374</v>
      </c>
      <c r="BA149" s="210">
        <v>36082144.75</v>
      </c>
      <c r="BB149" s="196"/>
      <c r="BC149" s="196"/>
      <c r="BD149" s="216">
        <f t="shared" si="79"/>
        <v>0</v>
      </c>
      <c r="BE149" s="216">
        <f t="shared" si="80"/>
        <v>0</v>
      </c>
      <c r="BF149" s="216">
        <f t="shared" si="81"/>
        <v>0</v>
      </c>
      <c r="BG149" s="216">
        <f t="shared" si="82"/>
        <v>0</v>
      </c>
      <c r="BH149" s="243">
        <f t="shared" si="65"/>
        <v>0</v>
      </c>
      <c r="BI149" s="243">
        <f t="shared" si="66"/>
        <v>0</v>
      </c>
      <c r="BJ149" s="243">
        <f t="shared" si="67"/>
        <v>0</v>
      </c>
      <c r="BK149" s="243">
        <f t="shared" si="68"/>
        <v>0</v>
      </c>
      <c r="BL149" s="243">
        <f t="shared" si="83"/>
        <v>0</v>
      </c>
      <c r="BM149" s="243">
        <f t="shared" si="84"/>
        <v>0</v>
      </c>
      <c r="BN149" s="243">
        <f t="shared" si="69"/>
        <v>0</v>
      </c>
      <c r="BO149" s="243">
        <f t="shared" si="70"/>
        <v>0</v>
      </c>
      <c r="BP149" s="206"/>
      <c r="BQ149" s="277">
        <v>32</v>
      </c>
      <c r="BR149" s="208">
        <f t="shared" si="59"/>
        <v>0.58333333333333337</v>
      </c>
      <c r="BS149" s="219" t="str">
        <f t="shared" si="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195">
        <f t="shared" si="58"/>
        <v>84191671.083333328</v>
      </c>
      <c r="BU149" s="196"/>
      <c r="BV149" s="196"/>
      <c r="BW149" s="196"/>
      <c r="BX149" s="196"/>
      <c r="BY149" s="196"/>
      <c r="BZ149" s="19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
      <c r="A150" s="249">
        <v>11900</v>
      </c>
      <c r="B150" s="250" t="s">
        <v>349</v>
      </c>
      <c r="C150" s="251" t="s">
        <v>357</v>
      </c>
      <c r="D150" s="250" t="s">
        <v>146</v>
      </c>
      <c r="E150" s="251" t="s">
        <v>710</v>
      </c>
      <c r="F150" s="250" t="s">
        <v>713</v>
      </c>
      <c r="G150" s="252" t="s">
        <v>123</v>
      </c>
      <c r="H150" s="253">
        <v>1</v>
      </c>
      <c r="I150" s="251" t="s">
        <v>711</v>
      </c>
      <c r="J150" s="250" t="s">
        <v>375</v>
      </c>
      <c r="K150" s="254">
        <v>163716856</v>
      </c>
      <c r="L150" s="255">
        <v>1</v>
      </c>
      <c r="M150" s="250" t="s">
        <v>46</v>
      </c>
      <c r="N150" s="250" t="s">
        <v>74</v>
      </c>
      <c r="O150" s="250" t="s">
        <v>21</v>
      </c>
      <c r="P150" s="250" t="s">
        <v>36</v>
      </c>
      <c r="Q150" s="250" t="s">
        <v>229</v>
      </c>
      <c r="R150" s="250" t="s">
        <v>714</v>
      </c>
      <c r="S150" s="250" t="s">
        <v>99</v>
      </c>
      <c r="T150" s="255">
        <v>1</v>
      </c>
      <c r="U150" s="256" t="str">
        <f t="shared" si="71"/>
        <v>Ejercer la representación judicial en los procesos penales en que sea parte la Administradora de los Recursos del Sistema General de Seguridad Social en Salud – Administradora de los Recursos del Sistema General de Seguridad Social en Salud - ADRES.</v>
      </c>
      <c r="V150" s="257">
        <f t="shared" si="71"/>
        <v>163716856</v>
      </c>
      <c r="W150" s="222" t="s">
        <v>114</v>
      </c>
      <c r="X150" s="253">
        <v>0.25</v>
      </c>
      <c r="Y150" s="258" t="s">
        <v>375</v>
      </c>
      <c r="Z150" s="254">
        <f>+X150*V150</f>
        <v>40929214</v>
      </c>
      <c r="AA150" s="259"/>
      <c r="AB150" s="259"/>
      <c r="AC150" s="260">
        <f t="shared" si="72"/>
        <v>0</v>
      </c>
      <c r="AD150" s="253">
        <f t="shared" si="73"/>
        <v>0</v>
      </c>
      <c r="AE150" s="253">
        <f t="shared" si="60"/>
        <v>0</v>
      </c>
      <c r="AF150" s="253">
        <f t="shared" si="61"/>
        <v>0</v>
      </c>
      <c r="AG150" s="253">
        <v>0.25</v>
      </c>
      <c r="AH150" s="258" t="s">
        <v>375</v>
      </c>
      <c r="AI150" s="254">
        <v>40929214</v>
      </c>
      <c r="AJ150" s="259"/>
      <c r="AK150" s="259"/>
      <c r="AL150" s="253">
        <f t="shared" si="74"/>
        <v>0</v>
      </c>
      <c r="AM150" s="253">
        <f t="shared" si="62"/>
        <v>0</v>
      </c>
      <c r="AN150" s="253">
        <f t="shared" si="63"/>
        <v>0</v>
      </c>
      <c r="AO150" s="253">
        <f t="shared" si="64"/>
        <v>0</v>
      </c>
      <c r="AP150" s="253">
        <v>0.25</v>
      </c>
      <c r="AQ150" s="258" t="s">
        <v>375</v>
      </c>
      <c r="AR150" s="254">
        <v>40929214</v>
      </c>
      <c r="AS150" s="259"/>
      <c r="AT150" s="259"/>
      <c r="AU150" s="253">
        <f t="shared" si="75"/>
        <v>0</v>
      </c>
      <c r="AV150" s="253">
        <f t="shared" si="76"/>
        <v>0</v>
      </c>
      <c r="AW150" s="253">
        <f t="shared" si="77"/>
        <v>0</v>
      </c>
      <c r="AX150" s="253">
        <f t="shared" si="78"/>
        <v>0</v>
      </c>
      <c r="AY150" s="253">
        <v>0.25</v>
      </c>
      <c r="AZ150" s="258" t="s">
        <v>375</v>
      </c>
      <c r="BA150" s="254">
        <v>40929214</v>
      </c>
      <c r="BB150" s="259"/>
      <c r="BC150" s="259"/>
      <c r="BD150" s="253">
        <f t="shared" si="79"/>
        <v>0</v>
      </c>
      <c r="BE150" s="253">
        <f t="shared" si="80"/>
        <v>0</v>
      </c>
      <c r="BF150" s="253">
        <f t="shared" si="81"/>
        <v>0</v>
      </c>
      <c r="BG150" s="253">
        <f t="shared" si="82"/>
        <v>0</v>
      </c>
      <c r="BH150" s="261">
        <f t="shared" si="65"/>
        <v>0</v>
      </c>
      <c r="BI150" s="261">
        <f t="shared" si="66"/>
        <v>0</v>
      </c>
      <c r="BJ150" s="261">
        <f t="shared" si="67"/>
        <v>0</v>
      </c>
      <c r="BK150" s="261">
        <f t="shared" si="68"/>
        <v>0</v>
      </c>
      <c r="BL150" s="261">
        <f t="shared" si="83"/>
        <v>0</v>
      </c>
      <c r="BM150" s="261">
        <f t="shared" si="84"/>
        <v>0</v>
      </c>
      <c r="BN150" s="261">
        <f t="shared" si="69"/>
        <v>0</v>
      </c>
      <c r="BO150" s="261">
        <f t="shared" si="70"/>
        <v>0</v>
      </c>
      <c r="BP150" s="262"/>
      <c r="BQ150" s="277">
        <v>32</v>
      </c>
      <c r="BR150" s="208">
        <f t="shared" si="59"/>
        <v>0.58333333333333337</v>
      </c>
      <c r="BS150" s="219" t="str">
        <f t="shared" si="85"/>
        <v>Ejercer la representación judicial en los procesos penales en que sea parte la Administradora de los Recursos del Sistema General de Seguridad Social en Salud – Administradora de los Recursos del Sistema General de Seguridad Social en Salud - ADRES.</v>
      </c>
      <c r="BT150" s="195">
        <f t="shared" si="58"/>
        <v>95501499.333333328</v>
      </c>
      <c r="BU150" s="196"/>
      <c r="BV150" s="196"/>
      <c r="BW150" s="196"/>
      <c r="BX150" s="196"/>
      <c r="BY150" s="196"/>
      <c r="BZ150" s="19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25">
      <c r="A151" s="173"/>
      <c r="B151" s="173"/>
      <c r="C151" s="173"/>
      <c r="D151" s="173"/>
      <c r="E151" s="173"/>
      <c r="F151" s="173"/>
      <c r="G151" s="263"/>
      <c r="H151" s="173"/>
      <c r="I151" s="173"/>
      <c r="J151" s="173"/>
      <c r="K151" s="264"/>
      <c r="L151" s="173"/>
      <c r="M151" s="173"/>
      <c r="N151" s="173"/>
      <c r="O151" s="173"/>
      <c r="P151" s="173"/>
      <c r="Q151" s="173"/>
      <c r="R151" s="173"/>
      <c r="S151" s="173"/>
      <c r="T151" s="173"/>
      <c r="U151" s="173"/>
      <c r="V151" s="173"/>
      <c r="W151" s="173"/>
      <c r="X151" s="265"/>
      <c r="Y151" s="265"/>
      <c r="Z151" s="265"/>
      <c r="AA151" s="265"/>
      <c r="AB151" s="265"/>
      <c r="AC151" s="265"/>
      <c r="AD151" s="265"/>
      <c r="AE151" s="265"/>
      <c r="AF151" s="265"/>
      <c r="AG151" s="265"/>
      <c r="AH151" s="288"/>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row>
    <row r="152" spans="1:235" x14ac:dyDescent="0.25">
      <c r="A152" s="176" t="s">
        <v>850</v>
      </c>
      <c r="B152" s="173"/>
      <c r="C152" s="173"/>
      <c r="D152" s="173"/>
      <c r="E152" s="173"/>
      <c r="F152" s="173"/>
      <c r="G152" s="263"/>
      <c r="H152" s="173"/>
      <c r="I152" s="173"/>
      <c r="J152" s="173"/>
      <c r="K152" s="264"/>
      <c r="L152" s="173"/>
      <c r="M152" s="173"/>
      <c r="N152" s="173"/>
      <c r="O152" s="173"/>
      <c r="P152" s="173"/>
      <c r="Q152" s="173"/>
      <c r="R152" s="173"/>
      <c r="S152" s="173"/>
      <c r="T152" s="173"/>
      <c r="U152" s="173"/>
      <c r="V152" s="173"/>
      <c r="W152" s="173"/>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1300" t="s">
        <v>739</v>
      </c>
      <c r="BI152" s="1301"/>
      <c r="BJ152" s="1301"/>
      <c r="BK152" s="1301"/>
      <c r="BL152" s="1301"/>
      <c r="BM152" s="1302"/>
      <c r="BN152" s="265"/>
      <c r="BO152" s="265"/>
      <c r="BP152" s="265"/>
      <c r="BQ152" s="265"/>
      <c r="BR152" s="265"/>
      <c r="BS152" s="265"/>
      <c r="BT152" s="265"/>
      <c r="BU152" s="265"/>
      <c r="BV152" s="265"/>
      <c r="BW152" s="265"/>
      <c r="BX152" s="265"/>
      <c r="BY152" s="265"/>
      <c r="BZ152" s="265"/>
    </row>
    <row r="153" spans="1:235" ht="15.75" thickBot="1" x14ac:dyDescent="0.3">
      <c r="A153" s="173"/>
      <c r="B153" s="173"/>
      <c r="C153" s="173"/>
      <c r="D153" s="173"/>
      <c r="E153" s="173"/>
      <c r="F153" s="173"/>
      <c r="G153" s="263"/>
      <c r="H153" s="173"/>
      <c r="I153" s="173"/>
      <c r="J153" s="173"/>
      <c r="K153" s="264"/>
      <c r="L153" s="173"/>
      <c r="M153" s="173"/>
      <c r="N153" s="173"/>
      <c r="O153" s="173"/>
      <c r="P153" s="173"/>
      <c r="Q153" s="173"/>
      <c r="R153" s="173"/>
      <c r="S153" s="173"/>
      <c r="T153" s="173"/>
      <c r="U153" s="173"/>
      <c r="V153" s="173"/>
      <c r="W153" s="173"/>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1303" t="s">
        <v>740</v>
      </c>
      <c r="BI153" s="1304"/>
      <c r="BJ153" s="1294" t="s">
        <v>741</v>
      </c>
      <c r="BK153" s="1295"/>
      <c r="BL153" s="1295"/>
      <c r="BM153" s="1296"/>
      <c r="BN153" s="265"/>
      <c r="BO153" s="265"/>
      <c r="BP153" s="265"/>
      <c r="BQ153" s="265"/>
      <c r="BR153" s="265"/>
      <c r="BS153" s="265"/>
      <c r="BT153" s="265"/>
      <c r="BU153" s="265"/>
      <c r="BV153" s="265"/>
      <c r="BW153" s="265"/>
      <c r="BX153" s="265"/>
      <c r="BY153" s="265"/>
      <c r="BZ153" s="265"/>
    </row>
    <row r="154" spans="1:235" ht="17.25" customHeight="1" thickBot="1" x14ac:dyDescent="0.3">
      <c r="A154" s="1290" t="s">
        <v>851</v>
      </c>
      <c r="B154" s="1291"/>
      <c r="C154" s="274" t="s">
        <v>852</v>
      </c>
      <c r="D154" s="173"/>
      <c r="E154" s="173"/>
      <c r="F154" s="173"/>
      <c r="G154" s="263"/>
      <c r="H154" s="173"/>
      <c r="I154" s="173"/>
      <c r="J154" s="173"/>
      <c r="K154" s="173"/>
      <c r="L154" s="173"/>
      <c r="M154" s="173"/>
      <c r="N154" s="173"/>
      <c r="O154" s="173"/>
      <c r="P154" s="173"/>
      <c r="Q154" s="173"/>
      <c r="R154" s="173"/>
      <c r="S154" s="173"/>
      <c r="T154" s="173"/>
      <c r="U154" s="173"/>
      <c r="V154" s="173"/>
      <c r="W154" s="173"/>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1305" t="s">
        <v>778</v>
      </c>
      <c r="BI154" s="1306"/>
      <c r="BJ154" s="1294" t="s">
        <v>780</v>
      </c>
      <c r="BK154" s="1295"/>
      <c r="BL154" s="1295"/>
      <c r="BM154" s="1296"/>
      <c r="BN154" s="265"/>
      <c r="BO154" s="265"/>
      <c r="BP154" s="265"/>
      <c r="BQ154" s="265"/>
      <c r="BR154" s="265"/>
      <c r="BS154" s="265"/>
      <c r="BT154" s="265"/>
      <c r="BU154" s="265"/>
      <c r="BV154" s="265"/>
      <c r="BW154" s="265"/>
      <c r="BX154" s="265"/>
      <c r="BY154" s="265"/>
      <c r="BZ154" s="265"/>
    </row>
    <row r="155" spans="1:235" x14ac:dyDescent="0.25">
      <c r="A155" s="1258" t="s">
        <v>853</v>
      </c>
      <c r="B155" s="1259"/>
      <c r="C155" s="272">
        <v>1</v>
      </c>
      <c r="D155" s="173"/>
      <c r="E155" s="173"/>
      <c r="F155" s="173"/>
      <c r="G155" s="263"/>
      <c r="H155" s="173"/>
      <c r="I155" s="173"/>
      <c r="J155" s="173"/>
      <c r="K155" s="264"/>
      <c r="L155" s="173"/>
      <c r="M155" s="173"/>
      <c r="N155" s="173"/>
      <c r="O155" s="173"/>
      <c r="P155" s="173"/>
      <c r="Q155" s="173"/>
      <c r="R155" s="173"/>
      <c r="S155" s="173"/>
      <c r="T155" s="173"/>
      <c r="U155" s="173"/>
      <c r="V155" s="173"/>
      <c r="W155" s="173"/>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1292" t="s">
        <v>776</v>
      </c>
      <c r="BI155" s="1293"/>
      <c r="BJ155" s="1294" t="s">
        <v>747</v>
      </c>
      <c r="BK155" s="1295"/>
      <c r="BL155" s="1295"/>
      <c r="BM155" s="1296"/>
      <c r="BN155" s="265"/>
      <c r="BO155" s="265"/>
      <c r="BP155" s="265"/>
      <c r="BQ155" s="265"/>
      <c r="BR155" s="265"/>
      <c r="BS155" s="265"/>
      <c r="BT155" s="265"/>
      <c r="BU155" s="265"/>
      <c r="BV155" s="265"/>
      <c r="BW155" s="265"/>
      <c r="BX155" s="265"/>
      <c r="BY155" s="265"/>
      <c r="BZ155" s="265"/>
    </row>
    <row r="156" spans="1:235" x14ac:dyDescent="0.25">
      <c r="A156" s="1258" t="s">
        <v>854</v>
      </c>
      <c r="B156" s="1259"/>
      <c r="C156" s="272">
        <v>2</v>
      </c>
      <c r="D156" s="173"/>
      <c r="E156" s="173"/>
      <c r="F156" s="173"/>
      <c r="G156" s="263"/>
      <c r="H156" s="173"/>
      <c r="I156" s="173"/>
      <c r="J156" s="173"/>
      <c r="K156" s="173"/>
      <c r="L156" s="173"/>
      <c r="M156" s="173"/>
      <c r="N156" s="173"/>
      <c r="O156" s="173"/>
      <c r="P156" s="173"/>
      <c r="Q156" s="173"/>
      <c r="R156" s="173"/>
      <c r="S156" s="173"/>
      <c r="T156" s="173"/>
      <c r="U156" s="173"/>
      <c r="V156" s="173"/>
      <c r="W156" s="173"/>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1297" t="s">
        <v>847</v>
      </c>
      <c r="BI156" s="1298"/>
      <c r="BJ156" s="1294" t="s">
        <v>748</v>
      </c>
      <c r="BK156" s="1295"/>
      <c r="BL156" s="1295"/>
      <c r="BM156" s="1296"/>
      <c r="BN156" s="265"/>
      <c r="BO156" s="265"/>
      <c r="BP156" s="265"/>
      <c r="BQ156" s="265"/>
      <c r="BR156" s="265"/>
      <c r="BS156" s="265"/>
      <c r="BT156" s="265"/>
      <c r="BU156" s="265"/>
      <c r="BV156" s="265"/>
      <c r="BW156" s="265"/>
      <c r="BX156" s="265"/>
      <c r="BY156" s="265"/>
      <c r="BZ156" s="265"/>
    </row>
    <row r="157" spans="1:235" x14ac:dyDescent="0.25">
      <c r="A157" s="1258" t="s">
        <v>855</v>
      </c>
      <c r="B157" s="1259"/>
      <c r="C157" s="272">
        <v>31</v>
      </c>
      <c r="D157" s="173"/>
      <c r="E157" s="173"/>
      <c r="F157" s="173"/>
      <c r="G157" s="263"/>
      <c r="H157" s="173"/>
      <c r="I157" s="173"/>
      <c r="J157" s="173"/>
      <c r="K157" s="173"/>
      <c r="L157" s="173"/>
      <c r="M157" s="173"/>
      <c r="N157" s="173"/>
      <c r="O157" s="173"/>
      <c r="P157" s="173"/>
      <c r="Q157" s="173"/>
      <c r="R157" s="173"/>
      <c r="S157" s="173"/>
      <c r="T157" s="173"/>
      <c r="U157" s="173"/>
      <c r="V157" s="173"/>
      <c r="W157" s="173"/>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1288" t="s">
        <v>749</v>
      </c>
      <c r="BI157" s="1288"/>
      <c r="BJ157" s="1289" t="s">
        <v>750</v>
      </c>
      <c r="BK157" s="1289"/>
      <c r="BL157" s="1289"/>
      <c r="BM157" s="1289"/>
      <c r="BN157" s="265"/>
      <c r="BO157" s="265"/>
      <c r="BP157" s="265"/>
      <c r="BQ157" s="265"/>
      <c r="BR157" s="265"/>
      <c r="BS157" s="265"/>
      <c r="BT157" s="265"/>
      <c r="BU157" s="265"/>
      <c r="BV157" s="265"/>
      <c r="BW157" s="265"/>
      <c r="BX157" s="265"/>
      <c r="BY157" s="265"/>
      <c r="BZ157" s="265"/>
    </row>
    <row r="158" spans="1:235" x14ac:dyDescent="0.25">
      <c r="A158" s="1258" t="s">
        <v>856</v>
      </c>
      <c r="B158" s="1259"/>
      <c r="C158" s="272">
        <v>32</v>
      </c>
      <c r="D158" s="173"/>
      <c r="E158" s="173"/>
      <c r="F158" s="173"/>
      <c r="G158" s="263"/>
      <c r="H158" s="173"/>
      <c r="I158" s="173"/>
      <c r="J158" s="173"/>
      <c r="K158" s="173"/>
      <c r="L158" s="173"/>
      <c r="M158" s="173"/>
      <c r="N158" s="173"/>
      <c r="O158" s="173"/>
      <c r="P158" s="173"/>
      <c r="Q158" s="173"/>
      <c r="R158" s="173"/>
      <c r="S158" s="173"/>
      <c r="T158" s="173"/>
      <c r="U158" s="173"/>
      <c r="V158" s="173"/>
      <c r="W158" s="173"/>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row>
    <row r="159" spans="1:235" x14ac:dyDescent="0.25">
      <c r="A159" s="1258" t="s">
        <v>857</v>
      </c>
      <c r="B159" s="1259"/>
      <c r="C159" s="272">
        <v>4</v>
      </c>
      <c r="D159" s="173"/>
      <c r="E159" s="173"/>
      <c r="F159" s="173"/>
      <c r="G159" s="263"/>
      <c r="H159" s="173"/>
      <c r="I159" s="173"/>
      <c r="J159" s="173"/>
      <c r="K159" s="173"/>
      <c r="L159" s="173"/>
      <c r="M159" s="173"/>
      <c r="N159" s="173"/>
      <c r="O159" s="173"/>
      <c r="P159" s="173"/>
      <c r="Q159" s="173"/>
      <c r="R159" s="173"/>
      <c r="S159" s="173"/>
      <c r="T159" s="173"/>
      <c r="U159" s="173"/>
      <c r="V159" s="173"/>
      <c r="W159" s="173"/>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row>
    <row r="160" spans="1:235" x14ac:dyDescent="0.25">
      <c r="A160" s="1258" t="s">
        <v>858</v>
      </c>
      <c r="B160" s="1259"/>
      <c r="C160" s="272">
        <v>5</v>
      </c>
      <c r="D160" s="173"/>
      <c r="E160" s="173"/>
      <c r="F160" s="173"/>
      <c r="G160" s="263"/>
      <c r="H160" s="173"/>
      <c r="I160" s="173"/>
      <c r="J160" s="173"/>
      <c r="K160" s="173"/>
      <c r="L160" s="173"/>
      <c r="M160" s="173"/>
      <c r="N160" s="173"/>
      <c r="O160" s="173"/>
      <c r="P160" s="173"/>
      <c r="Q160" s="173"/>
      <c r="R160" s="173"/>
      <c r="S160" s="173"/>
      <c r="T160" s="173"/>
      <c r="U160" s="173"/>
      <c r="V160" s="173"/>
      <c r="W160" s="173"/>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row>
    <row r="161" spans="1:78" x14ac:dyDescent="0.25">
      <c r="A161" s="1258" t="s">
        <v>859</v>
      </c>
      <c r="B161" s="1259"/>
      <c r="C161" s="272">
        <v>6</v>
      </c>
      <c r="D161" s="173"/>
      <c r="E161" s="173"/>
      <c r="F161" s="173"/>
      <c r="G161" s="263"/>
      <c r="H161" s="173"/>
      <c r="I161" s="173"/>
      <c r="J161" s="173"/>
      <c r="K161" s="173"/>
      <c r="L161" s="173"/>
      <c r="M161" s="173"/>
      <c r="N161" s="173"/>
      <c r="O161" s="173"/>
      <c r="P161" s="173"/>
      <c r="Q161" s="173"/>
      <c r="R161" s="173"/>
      <c r="S161" s="173"/>
      <c r="T161" s="173"/>
      <c r="U161" s="173"/>
      <c r="V161" s="173"/>
      <c r="W161" s="173"/>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row>
    <row r="162" spans="1:78" x14ac:dyDescent="0.25">
      <c r="A162" s="1258" t="s">
        <v>860</v>
      </c>
      <c r="B162" s="1259"/>
      <c r="C162" s="272">
        <v>7</v>
      </c>
      <c r="D162" s="173"/>
      <c r="E162" s="173"/>
      <c r="F162" s="173"/>
      <c r="G162" s="263"/>
      <c r="H162" s="173"/>
      <c r="I162" s="173"/>
      <c r="J162" s="173"/>
      <c r="K162" s="173"/>
      <c r="L162" s="173"/>
      <c r="M162" s="173"/>
      <c r="N162" s="173"/>
      <c r="O162" s="173"/>
      <c r="P162" s="173"/>
      <c r="Q162" s="173"/>
      <c r="R162" s="173"/>
      <c r="S162" s="173"/>
      <c r="T162" s="173"/>
      <c r="U162" s="173"/>
      <c r="V162" s="173"/>
      <c r="W162" s="173"/>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row>
    <row r="163" spans="1:78" x14ac:dyDescent="0.25">
      <c r="A163" s="1258" t="s">
        <v>861</v>
      </c>
      <c r="B163" s="1259"/>
      <c r="C163" s="272">
        <v>8</v>
      </c>
      <c r="D163" s="173"/>
      <c r="E163" s="173"/>
      <c r="F163" s="173"/>
      <c r="G163" s="263"/>
      <c r="H163" s="173"/>
      <c r="I163" s="173"/>
      <c r="J163" s="173"/>
      <c r="K163" s="173"/>
      <c r="L163" s="173"/>
      <c r="M163" s="173"/>
      <c r="N163" s="173"/>
      <c r="O163" s="173"/>
      <c r="P163" s="173"/>
      <c r="Q163" s="173"/>
      <c r="R163" s="173"/>
      <c r="S163" s="173"/>
      <c r="T163" s="173"/>
      <c r="U163" s="173"/>
      <c r="V163" s="173"/>
      <c r="W163" s="173"/>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row>
    <row r="164" spans="1:78" x14ac:dyDescent="0.25">
      <c r="A164" s="1258" t="s">
        <v>862</v>
      </c>
      <c r="B164" s="1259"/>
      <c r="C164" s="272">
        <v>9</v>
      </c>
      <c r="D164" s="173"/>
      <c r="E164" s="173"/>
      <c r="F164" s="173"/>
      <c r="G164" s="263"/>
      <c r="H164" s="173"/>
      <c r="I164" s="173"/>
      <c r="J164" s="173"/>
      <c r="K164" s="173"/>
      <c r="L164" s="173"/>
      <c r="M164" s="173"/>
      <c r="N164" s="173"/>
      <c r="O164" s="173"/>
      <c r="P164" s="173"/>
      <c r="Q164" s="173"/>
      <c r="R164" s="173"/>
      <c r="S164" s="173"/>
      <c r="T164" s="173"/>
      <c r="U164" s="173"/>
      <c r="V164" s="173"/>
      <c r="W164" s="173"/>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row>
    <row r="165" spans="1:78" x14ac:dyDescent="0.25">
      <c r="A165" s="1258" t="s">
        <v>863</v>
      </c>
      <c r="B165" s="1259"/>
      <c r="C165" s="272">
        <v>10</v>
      </c>
      <c r="D165" s="173"/>
      <c r="E165" s="173"/>
      <c r="F165" s="173"/>
      <c r="G165" s="263"/>
      <c r="H165" s="173"/>
      <c r="I165" s="173"/>
      <c r="J165" s="173"/>
      <c r="K165" s="173"/>
      <c r="L165" s="173"/>
      <c r="M165" s="173"/>
      <c r="N165" s="173"/>
      <c r="O165" s="173"/>
      <c r="P165" s="173"/>
      <c r="Q165" s="173"/>
      <c r="R165" s="173"/>
      <c r="S165" s="173"/>
      <c r="T165" s="173"/>
      <c r="U165" s="173"/>
      <c r="V165" s="173"/>
      <c r="W165" s="173"/>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row>
    <row r="166" spans="1:78" x14ac:dyDescent="0.25">
      <c r="A166" s="1258" t="s">
        <v>864</v>
      </c>
      <c r="B166" s="1259"/>
      <c r="C166" s="272">
        <v>11</v>
      </c>
      <c r="D166" s="173"/>
      <c r="E166" s="173"/>
      <c r="F166" s="173"/>
      <c r="G166" s="263"/>
      <c r="H166" s="173"/>
      <c r="I166" s="173"/>
      <c r="J166" s="173"/>
      <c r="K166" s="173"/>
      <c r="L166" s="173"/>
      <c r="M166" s="173"/>
      <c r="N166" s="173"/>
      <c r="O166" s="173"/>
      <c r="P166" s="173"/>
      <c r="Q166" s="173"/>
      <c r="R166" s="173"/>
      <c r="S166" s="173"/>
      <c r="T166" s="173"/>
      <c r="U166" s="173"/>
      <c r="V166" s="173"/>
      <c r="W166" s="173"/>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row>
    <row r="167" spans="1:78" ht="15.75" thickBot="1" x14ac:dyDescent="0.3">
      <c r="A167" s="1286" t="s">
        <v>865</v>
      </c>
      <c r="B167" s="1287"/>
      <c r="C167" s="162">
        <v>12</v>
      </c>
    </row>
  </sheetData>
  <autoFilter ref="A7:BR150" xr:uid="{00000000-0009-0000-0000-00000B00000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5" priority="1" operator="equal">
      <formula>#REF!</formula>
    </cfRule>
    <cfRule type="cellIs" dxfId="4" priority="2" operator="greaterThan">
      <formula>1</formula>
    </cfRule>
    <cfRule type="cellIs" dxfId="3" priority="3" operator="equal">
      <formula>100%</formula>
    </cfRule>
    <cfRule type="cellIs" dxfId="2" priority="4" operator="between">
      <formula>80%</formula>
      <formula>99%</formula>
    </cfRule>
    <cfRule type="cellIs" dxfId="1" priority="5" operator="between">
      <formula>0%</formula>
      <formula>79%</formula>
    </cfRule>
  </conditionalFormatting>
  <dataValidations count="3">
    <dataValidation type="list" allowBlank="1" showInputMessage="1" showErrorMessage="1" sqref="R104 R111 R136:R137 R147:R150" xr:uid="{00000000-0002-0000-0B00-000000000000}">
      <formula1>$S$3:$S$70</formula1>
    </dataValidation>
    <dataValidation type="list" allowBlank="1" showInputMessage="1" showErrorMessage="1" sqref="R121:R123 R133:R134" xr:uid="{00000000-0002-0000-0B00-000001000000}">
      <formula1>$S$3:$S$69</formula1>
    </dataValidation>
    <dataValidation type="list" allowBlank="1" showInputMessage="1" showErrorMessage="1" sqref="R46:R63 R100:R103 R113:R120 R138:R141 R88:R91 R94:R97 R8 R12:R44" xr:uid="{00000000-0002-0000-0B00-000002000000}">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r:uid="{00000000-0002-0000-0B00-000003000000}">
          <x14:formula1>
            <xm:f>'D:\Users\Alicia.benitez\Documents\PLAN DE ACCION\[Contratacion.xlsx]TAB. REF. PA'!#REF!</xm:f>
          </x14:formula1>
          <xm:sqref>R98:R99</xm:sqref>
        </x14:dataValidation>
        <x14:dataValidation type="list" allowBlank="1" showInputMessage="1" showErrorMessage="1" xr:uid="{00000000-0002-0000-0B00-000004000000}">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r:uid="{00000000-0002-0000-0B00-000005000000}">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r:uid="{00000000-0002-0000-0B00-000006000000}">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r:uid="{00000000-0002-0000-0B00-000007000000}">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r:uid="{00000000-0002-0000-0B00-000008000000}">
          <x14:formula1>
            <xm:f>'D:\Users\Alicia.benitez\Documents\PLAN DE ACCION\[Apoyo Logistico.xlsx]TAB. REF. PA'!#REF!</xm:f>
          </x14:formula1>
          <xm:sqref>R142:R143</xm:sqref>
        </x14:dataValidation>
        <x14:dataValidation type="list" allowBlank="1" showInputMessage="1" showErrorMessage="1" xr:uid="{00000000-0002-0000-0B00-000009000000}">
          <x14:formula1>
            <xm:f>'D:\Users\Alicia.benitez\Documents\PLAN DE ACCION\[Atencion al Ciudadano.XLSX]TAB. REF. PA'!#REF!</xm:f>
          </x14:formula1>
          <xm:sqref>S110</xm:sqref>
        </x14:dataValidation>
        <x14:dataValidation type="list" allowBlank="1" showInputMessage="1" showErrorMessage="1" xr:uid="{00000000-0002-0000-0B00-00000A000000}">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r:uid="{00000000-0002-0000-0B00-00000B000000}">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r:uid="{00000000-0002-0000-0B00-00000C000000}">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r:uid="{00000000-0002-0000-0B00-00000D000000}">
          <x14:formula1>
            <xm:f>'TAB. REF. PA'!$A$3:$A$14</xm:f>
          </x14:formula1>
          <xm:sqref>A94:A108 A113:A120 A138:A141 A88:A91 A8:A74</xm:sqref>
        </x14:dataValidation>
        <x14:dataValidation type="list" allowBlank="1" showInputMessage="1" showErrorMessage="1" xr:uid="{00000000-0002-0000-0B00-00000E000000}">
          <x14:formula1>
            <xm:f>'TAB. REF. PA'!$U$3:$U$24</xm:f>
          </x14:formula1>
          <xm:sqref>S94:S103 S108 S105:S106 S113:S120 S138:S141 S88:S91 S8:S74</xm:sqref>
        </x14:dataValidation>
        <x14:dataValidation type="list" allowBlank="1" showInputMessage="1" showErrorMessage="1" xr:uid="{00000000-0002-0000-0B00-00000F000000}">
          <x14:formula1>
            <xm:f>'TAB. REF. PA'!$N$3:$N$25</xm:f>
          </x14:formula1>
          <xm:sqref>Q94:Q108 Q110:Q111 Q113:Q120 Q138:Q143 Q88:Q91 Q8:Q9 Q12:Q74</xm:sqref>
        </x14:dataValidation>
        <x14:dataValidation type="list" allowBlank="1" showInputMessage="1" showErrorMessage="1" xr:uid="{00000000-0002-0000-0B00-000010000000}">
          <x14:formula1>
            <xm:f>'TAB. REF. PA'!$L$3:$L$11</xm:f>
          </x14:formula1>
          <xm:sqref>P94:P108 P110:P111 P113:P120 P138:P143 P88:P91 P8:P9 P12:P74</xm:sqref>
        </x14:dataValidation>
        <x14:dataValidation type="list" allowBlank="1" showInputMessage="1" showErrorMessage="1" xr:uid="{00000000-0002-0000-0B00-000011000000}">
          <x14:formula1>
            <xm:f>'TAB. REF. PA'!$J$3:$J$6</xm:f>
          </x14:formula1>
          <xm:sqref>O94:O108 O110:O111 O113:O120 O138:O143 O88:O91 O8:O9 O12:O74</xm:sqref>
        </x14:dataValidation>
        <x14:dataValidation type="list" allowBlank="1" showInputMessage="1" showErrorMessage="1" xr:uid="{00000000-0002-0000-0B00-000012000000}">
          <x14:formula1>
            <xm:f>'TAB. REF. PA'!$H$3:$H$21</xm:f>
          </x14:formula1>
          <xm:sqref>N94:N108 N110:N111 N113:N120 N138:N143 N88:N91 N8:N9 N12:N74</xm:sqref>
        </x14:dataValidation>
        <x14:dataValidation type="list" allowBlank="1" showInputMessage="1" showErrorMessage="1" xr:uid="{00000000-0002-0000-0B00-000013000000}">
          <x14:formula1>
            <xm:f>'TAB. REF. PA'!$F$3:$F$10</xm:f>
          </x14:formula1>
          <xm:sqref>M94:M108 M110:M111 M113:M120 M138:M143 M88:M91 M8:M9 M12:M74</xm:sqref>
        </x14:dataValidation>
        <x14:dataValidation type="list" allowBlank="1" showInputMessage="1" showErrorMessage="1" xr:uid="{00000000-0002-0000-0B00-000014000000}">
          <x14:formula1>
            <xm:f>'TAB. REF. PA'!$W$3:$W$7</xm:f>
          </x14:formula1>
          <xm:sqref>W79:W120 W77 W137:W143 W124:W133 W148:W150 W8:W9 W12:W74</xm:sqref>
        </x14:dataValidation>
        <x14:dataValidation type="list" allowBlank="1" showInputMessage="1" showErrorMessage="1" xr:uid="{00000000-0002-0000-0B00-000015000000}">
          <x14:formula1>
            <xm:f>'C:\Users\Ricardo.triana\AppData\Local\Microsoft\Windows\INetCache\Content.Outlook\NSJG1V0A\[Plan Accion ADRES DOP 24-01-2018.xlsx]TAB. REF. PA'!#REF!</xm:f>
          </x14:formula1>
          <xm:sqref>D64:D74</xm:sqref>
        </x14:dataValidation>
        <x14:dataValidation type="list" allowBlank="1" showInputMessage="1" showErrorMessage="1" xr:uid="{00000000-0002-0000-0B00-000016000000}">
          <x14:formula1>
            <xm:f>'D:\Users\ricardo.triana\Documents\ADRES\Plan de Accion\Plan Accion 2018\[Plan Accion ADRES Vigencia 2018 DLG 17-01-18.xlsx]TAB. REF. PA'!#REF!</xm:f>
          </x14:formula1>
          <xm:sqref>D45:D63</xm:sqref>
        </x14:dataValidation>
        <x14:dataValidation type="list" allowBlank="1" showInputMessage="1" showErrorMessage="1" xr:uid="{00000000-0002-0000-0B00-000017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B00-000018000000}">
          <x14:formula1>
            <xm:f>'TAB. REF. PA'!$D$3:$D$9</xm:f>
          </x14:formula1>
          <xm:sqref>D94:D108 D113:D120 D138:D141 D88:D91 D8:D11</xm:sqref>
        </x14:dataValidation>
        <x14:dataValidation type="list" allowBlank="1" showInputMessage="1" showErrorMessage="1" xr:uid="{00000000-0002-0000-0B00-000019000000}">
          <x14:formula1>
            <xm:f>'TAB. REF. PA'!$S$3:$S$80</xm:f>
          </x14:formula1>
          <xm:sqref>R9:R11</xm:sqref>
        </x14:dataValidation>
        <x14:dataValidation type="list" allowBlank="1" showInputMessage="1" showErrorMessage="1" xr:uid="{00000000-0002-0000-0B00-00001A000000}">
          <x14:formula1>
            <xm:f>'TAB. REF. PA'!$S$3:$S$76</xm:f>
          </x14:formula1>
          <xm:sqref>R145</xm:sqref>
        </x14:dataValidation>
        <x14:dataValidation type="list" allowBlank="1" showInputMessage="1" showErrorMessage="1" xr:uid="{00000000-0002-0000-0B00-00001B000000}">
          <x14:formula1>
            <xm:f>'TAB. REF. PA'!$S$3:$S$77</xm:f>
          </x14:formula1>
          <xm:sqref>R45</xm:sqref>
        </x14:dataValidation>
        <x14:dataValidation type="list" allowBlank="1" showInputMessage="1" showErrorMessage="1" xr:uid="{00000000-0002-0000-0B00-00001C000000}">
          <x14:formula1>
            <xm:f>'TAB. REF. PA'!$S$3:$S$78</xm:f>
          </x14:formula1>
          <xm:sqref>R64:R74</xm:sqref>
        </x14:dataValidation>
        <x14:dataValidation type="list" allowBlank="1" showInputMessage="1" showErrorMessage="1" xr:uid="{00000000-0002-0000-0B00-00001D000000}">
          <x14:formula1>
            <xm:f>'TAB. REF. PA'!$S$3:$S$62</xm:f>
          </x14:formula1>
          <xm:sqref>R108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H21"/>
  <sheetViews>
    <sheetView topLeftCell="B4" workbookViewId="0">
      <selection activeCell="G13" sqref="G13:H14"/>
    </sheetView>
  </sheetViews>
  <sheetFormatPr baseColWidth="10" defaultRowHeight="15" x14ac:dyDescent="0.25"/>
  <cols>
    <col min="1" max="1" width="48.140625" customWidth="1"/>
    <col min="2" max="2" width="16.28515625" style="20" customWidth="1"/>
    <col min="4" max="4" width="34.28515625" bestFit="1" customWidth="1"/>
    <col min="5" max="5" width="15.140625" style="20" bestFit="1" customWidth="1"/>
    <col min="6" max="6" width="33.85546875" customWidth="1"/>
    <col min="7" max="7" width="15.140625" style="20" bestFit="1" customWidth="1"/>
    <col min="8" max="8" width="14.140625" bestFit="1" customWidth="1"/>
  </cols>
  <sheetData>
    <row r="2" spans="1:8" x14ac:dyDescent="0.25">
      <c r="D2" s="1353"/>
      <c r="E2" s="1354"/>
      <c r="F2" s="1355" t="s">
        <v>734</v>
      </c>
      <c r="G2" s="1356"/>
      <c r="H2" s="1357"/>
    </row>
    <row r="3" spans="1:8" ht="15.75" thickBot="1" x14ac:dyDescent="0.3">
      <c r="A3" t="s">
        <v>722</v>
      </c>
      <c r="B3" s="20" t="s">
        <v>735</v>
      </c>
      <c r="D3" t="s">
        <v>3</v>
      </c>
      <c r="E3" s="20">
        <f>+GETPIVOTDATA("Valor total estimado ",$A$3,"Dependencia ADRES","Dirección General")</f>
        <v>500000000</v>
      </c>
      <c r="F3" s="131" t="s">
        <v>3</v>
      </c>
      <c r="G3" s="132">
        <v>500000000</v>
      </c>
      <c r="H3" s="133">
        <f>+E3-G3</f>
        <v>0</v>
      </c>
    </row>
    <row r="4" spans="1:8" x14ac:dyDescent="0.25">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25">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25">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25">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25">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25">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75" thickBot="1" x14ac:dyDescent="0.3">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25">
      <c r="A11" s="128" t="s">
        <v>3</v>
      </c>
      <c r="B11" s="20">
        <v>500000000</v>
      </c>
      <c r="D11" s="128" t="s">
        <v>736</v>
      </c>
      <c r="E11" s="20">
        <v>200000000</v>
      </c>
      <c r="F11" s="137" t="s">
        <v>736</v>
      </c>
      <c r="G11" s="138">
        <v>200000000</v>
      </c>
      <c r="H11" s="139">
        <f t="shared" si="0"/>
        <v>0</v>
      </c>
    </row>
    <row r="12" spans="1:8" x14ac:dyDescent="0.25">
      <c r="A12" s="128" t="s">
        <v>465</v>
      </c>
      <c r="B12" s="20">
        <v>31126827540</v>
      </c>
    </row>
    <row r="13" spans="1:8" x14ac:dyDescent="0.25">
      <c r="A13" s="128" t="s">
        <v>454</v>
      </c>
      <c r="B13" s="20">
        <v>41094712</v>
      </c>
      <c r="E13" s="20">
        <f>+SUM(E3:E11)</f>
        <v>47307229639.5</v>
      </c>
      <c r="G13" s="20">
        <f>SUM(G3:G11)</f>
        <v>45544125459.5</v>
      </c>
      <c r="H13" s="48">
        <f>E13-G13</f>
        <v>1763104180</v>
      </c>
    </row>
    <row r="14" spans="1:8" x14ac:dyDescent="0.25">
      <c r="A14" s="128" t="s">
        <v>349</v>
      </c>
      <c r="B14" s="20">
        <v>542477052</v>
      </c>
    </row>
    <row r="15" spans="1:8" x14ac:dyDescent="0.25">
      <c r="A15" s="128" t="s">
        <v>466</v>
      </c>
      <c r="B15" s="20">
        <v>307607868</v>
      </c>
    </row>
    <row r="16" spans="1:8" x14ac:dyDescent="0.25">
      <c r="A16" s="128" t="s">
        <v>469</v>
      </c>
      <c r="B16" s="20">
        <v>55760808</v>
      </c>
    </row>
    <row r="17" spans="1:2" x14ac:dyDescent="0.25">
      <c r="A17" s="128" t="s">
        <v>467</v>
      </c>
      <c r="B17" s="20">
        <v>1296343223</v>
      </c>
    </row>
    <row r="18" spans="1:2" x14ac:dyDescent="0.25">
      <c r="A18" s="128" t="s">
        <v>737</v>
      </c>
      <c r="B18" s="20">
        <v>47532004351.5</v>
      </c>
    </row>
    <row r="19" spans="1:2" x14ac:dyDescent="0.25">
      <c r="A19" s="128" t="s">
        <v>723</v>
      </c>
      <c r="B19" s="20">
        <v>94639233991</v>
      </c>
    </row>
    <row r="21" spans="1:2" x14ac:dyDescent="0.25">
      <c r="B21" s="20">
        <f>+GETPIVOTDATA("Valor total estimado ",$A$3,"Dependencia ADRES",)-E13</f>
        <v>224774712</v>
      </c>
    </row>
  </sheetData>
  <mergeCells count="2">
    <mergeCell ref="D2:E2"/>
    <mergeCell ref="F2:H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
  <dimension ref="A1:W83"/>
  <sheetViews>
    <sheetView topLeftCell="P58" workbookViewId="0">
      <selection activeCell="S47" sqref="S47"/>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15.5703125" customWidth="1"/>
    <col min="19" max="19" width="56" bestFit="1" customWidth="1"/>
    <col min="20" max="20" width="4.5703125" customWidth="1"/>
    <col min="21" max="21" width="57.28515625" customWidth="1"/>
    <col min="22" max="22" width="4.5703125" customWidth="1"/>
    <col min="23" max="23" width="19.85546875" customWidth="1"/>
  </cols>
  <sheetData>
    <row r="1" spans="1:23" x14ac:dyDescent="0.25">
      <c r="A1" s="1367" t="s">
        <v>42</v>
      </c>
      <c r="B1" s="1367"/>
      <c r="F1" t="s">
        <v>43</v>
      </c>
      <c r="H1" t="s">
        <v>44</v>
      </c>
      <c r="J1" s="11" t="s">
        <v>65</v>
      </c>
      <c r="L1" s="11" t="s">
        <v>66</v>
      </c>
      <c r="N1" t="s">
        <v>76</v>
      </c>
      <c r="P1" t="s">
        <v>78</v>
      </c>
      <c r="S1" t="s">
        <v>84</v>
      </c>
      <c r="U1" t="s">
        <v>89</v>
      </c>
    </row>
    <row r="2" spans="1:23" s="9" customFormat="1" x14ac:dyDescent="0.25">
      <c r="A2" s="8" t="s">
        <v>25</v>
      </c>
      <c r="B2" s="8" t="s">
        <v>31</v>
      </c>
      <c r="D2" s="8" t="s">
        <v>141</v>
      </c>
      <c r="F2" s="10" t="s">
        <v>53</v>
      </c>
      <c r="H2" s="10" t="s">
        <v>52</v>
      </c>
      <c r="J2" s="10" t="s">
        <v>32</v>
      </c>
      <c r="L2" s="10" t="s">
        <v>33</v>
      </c>
      <c r="N2" s="10" t="s">
        <v>67</v>
      </c>
      <c r="P2" s="10" t="s">
        <v>77</v>
      </c>
      <c r="Q2" s="22"/>
      <c r="S2" s="10" t="s">
        <v>79</v>
      </c>
      <c r="U2" s="10" t="s">
        <v>1</v>
      </c>
      <c r="W2" s="10" t="s">
        <v>113</v>
      </c>
    </row>
    <row r="3" spans="1:23" x14ac:dyDescent="0.25">
      <c r="A3" s="1"/>
      <c r="B3" s="1"/>
      <c r="D3" s="1"/>
      <c r="F3" s="1"/>
      <c r="H3" s="1"/>
      <c r="J3" s="1"/>
      <c r="L3" s="1"/>
      <c r="N3" s="1"/>
      <c r="P3" s="1"/>
      <c r="Q3" s="23"/>
      <c r="S3" s="3" t="s">
        <v>570</v>
      </c>
      <c r="U3" s="1"/>
      <c r="W3" s="1" t="s">
        <v>122</v>
      </c>
    </row>
    <row r="4" spans="1:23" ht="60" x14ac:dyDescent="0.25">
      <c r="A4" s="2">
        <v>11200</v>
      </c>
      <c r="B4" s="2" t="s">
        <v>3</v>
      </c>
      <c r="D4" s="3" t="s">
        <v>144</v>
      </c>
      <c r="F4" s="3" t="s">
        <v>45</v>
      </c>
      <c r="H4" s="3" t="s">
        <v>54</v>
      </c>
      <c r="J4" s="3" t="s">
        <v>34</v>
      </c>
      <c r="L4" s="3" t="s">
        <v>35</v>
      </c>
      <c r="N4" s="3" t="s">
        <v>75</v>
      </c>
      <c r="P4" s="1"/>
      <c r="Q4" s="23"/>
      <c r="S4" s="3" t="s">
        <v>137</v>
      </c>
      <c r="U4" s="3" t="s">
        <v>92</v>
      </c>
      <c r="W4" s="1" t="s">
        <v>117</v>
      </c>
    </row>
    <row r="5" spans="1:23" ht="60.75" thickBot="1" x14ac:dyDescent="0.3">
      <c r="A5" s="2">
        <v>11300</v>
      </c>
      <c r="B5" s="2" t="s">
        <v>4</v>
      </c>
      <c r="D5" s="3" t="s">
        <v>145</v>
      </c>
      <c r="F5" s="3" t="s">
        <v>51</v>
      </c>
      <c r="H5" s="3" t="s">
        <v>55</v>
      </c>
      <c r="J5" s="3" t="s">
        <v>21</v>
      </c>
      <c r="K5" s="9"/>
      <c r="L5" s="3" t="s">
        <v>36</v>
      </c>
      <c r="N5" s="3" t="s">
        <v>210</v>
      </c>
      <c r="P5" s="1"/>
      <c r="Q5" s="23"/>
      <c r="S5" s="24" t="s">
        <v>182</v>
      </c>
      <c r="U5" s="3" t="s">
        <v>93</v>
      </c>
      <c r="W5" s="1" t="s">
        <v>114</v>
      </c>
    </row>
    <row r="6" spans="1:23" ht="30" x14ac:dyDescent="0.25">
      <c r="A6" s="2">
        <v>11400</v>
      </c>
      <c r="B6" s="2" t="s">
        <v>26</v>
      </c>
      <c r="D6" s="3" t="s">
        <v>146</v>
      </c>
      <c r="F6" s="3" t="s">
        <v>46</v>
      </c>
      <c r="H6" s="3" t="s">
        <v>56</v>
      </c>
      <c r="J6" s="3" t="s">
        <v>37</v>
      </c>
      <c r="L6" s="3" t="s">
        <v>22</v>
      </c>
      <c r="N6" s="3" t="s">
        <v>211</v>
      </c>
      <c r="P6" s="1"/>
      <c r="Q6" s="23"/>
      <c r="R6" s="1368" t="s">
        <v>511</v>
      </c>
      <c r="S6" s="28" t="s">
        <v>911</v>
      </c>
      <c r="U6" s="3" t="s">
        <v>94</v>
      </c>
      <c r="W6" s="1" t="s">
        <v>115</v>
      </c>
    </row>
    <row r="7" spans="1:23" ht="45" x14ac:dyDescent="0.25">
      <c r="A7" s="2">
        <v>11420</v>
      </c>
      <c r="B7" s="2" t="s">
        <v>27</v>
      </c>
      <c r="D7" s="3" t="s">
        <v>147</v>
      </c>
      <c r="F7" s="3" t="s">
        <v>47</v>
      </c>
      <c r="H7" s="3" t="s">
        <v>57</v>
      </c>
      <c r="L7" s="3" t="s">
        <v>23</v>
      </c>
      <c r="N7" s="3" t="s">
        <v>212</v>
      </c>
      <c r="P7" s="1"/>
      <c r="Q7" s="23"/>
      <c r="R7" s="1369"/>
      <c r="S7" s="29" t="s">
        <v>912</v>
      </c>
      <c r="U7" s="3" t="s">
        <v>95</v>
      </c>
      <c r="W7" s="1" t="s">
        <v>116</v>
      </c>
    </row>
    <row r="8" spans="1:23" ht="90" x14ac:dyDescent="0.25">
      <c r="A8" s="2">
        <v>11430</v>
      </c>
      <c r="B8" s="2" t="s">
        <v>2</v>
      </c>
      <c r="D8" s="19" t="s">
        <v>256</v>
      </c>
      <c r="F8" s="6" t="s">
        <v>48</v>
      </c>
      <c r="H8" s="7" t="s">
        <v>68</v>
      </c>
      <c r="K8" s="9"/>
      <c r="L8" s="1" t="s">
        <v>39</v>
      </c>
      <c r="N8" s="3" t="s">
        <v>213</v>
      </c>
      <c r="P8" s="1"/>
      <c r="Q8" s="23"/>
      <c r="R8" s="1369"/>
      <c r="S8" s="29" t="s">
        <v>913</v>
      </c>
      <c r="U8" s="3" t="s">
        <v>96</v>
      </c>
    </row>
    <row r="9" spans="1:23" ht="45" x14ac:dyDescent="0.25">
      <c r="A9" s="2">
        <v>11500</v>
      </c>
      <c r="B9" s="2" t="s">
        <v>28</v>
      </c>
      <c r="D9" s="19" t="s">
        <v>153</v>
      </c>
      <c r="F9" s="6" t="s">
        <v>49</v>
      </c>
      <c r="H9" s="7" t="s">
        <v>69</v>
      </c>
      <c r="L9" s="6" t="s">
        <v>38</v>
      </c>
      <c r="N9" s="3" t="s">
        <v>214</v>
      </c>
      <c r="P9" s="1"/>
      <c r="Q9" s="23"/>
      <c r="R9" s="1369"/>
      <c r="S9" s="29" t="s">
        <v>235</v>
      </c>
      <c r="U9" s="3" t="s">
        <v>97</v>
      </c>
    </row>
    <row r="10" spans="1:23" ht="30" x14ac:dyDescent="0.25">
      <c r="A10" s="2">
        <v>11600</v>
      </c>
      <c r="B10" s="2" t="s">
        <v>6</v>
      </c>
      <c r="F10" s="6" t="s">
        <v>50</v>
      </c>
      <c r="H10" s="6" t="s">
        <v>73</v>
      </c>
      <c r="L10" s="6" t="s">
        <v>40</v>
      </c>
      <c r="N10" s="3" t="s">
        <v>215</v>
      </c>
      <c r="P10" s="1"/>
      <c r="Q10" s="23"/>
      <c r="R10" s="1369"/>
      <c r="S10" s="29" t="s">
        <v>236</v>
      </c>
      <c r="U10" s="3" t="s">
        <v>98</v>
      </c>
    </row>
    <row r="11" spans="1:23" ht="30" x14ac:dyDescent="0.25">
      <c r="A11" s="2">
        <v>11700</v>
      </c>
      <c r="B11" s="2" t="s">
        <v>29</v>
      </c>
      <c r="H11" s="6" t="s">
        <v>58</v>
      </c>
      <c r="K11" s="9"/>
      <c r="L11" s="6" t="s">
        <v>41</v>
      </c>
      <c r="N11" s="3" t="s">
        <v>216</v>
      </c>
      <c r="P11" s="1"/>
      <c r="Q11" s="23"/>
      <c r="R11" s="1369"/>
      <c r="S11" s="29" t="s">
        <v>474</v>
      </c>
      <c r="U11" s="3" t="s">
        <v>99</v>
      </c>
    </row>
    <row r="12" spans="1:23" ht="30" x14ac:dyDescent="0.25">
      <c r="A12" s="2">
        <v>11800</v>
      </c>
      <c r="B12" s="2" t="s">
        <v>5</v>
      </c>
      <c r="H12" s="6" t="s">
        <v>74</v>
      </c>
      <c r="N12" s="3" t="s">
        <v>217</v>
      </c>
      <c r="P12" s="1"/>
      <c r="Q12" s="23"/>
      <c r="R12" s="1369"/>
      <c r="S12" s="29" t="s">
        <v>475</v>
      </c>
      <c r="U12" s="3" t="s">
        <v>100</v>
      </c>
    </row>
    <row r="13" spans="1:23" ht="30" x14ac:dyDescent="0.25">
      <c r="A13" s="2">
        <v>11900</v>
      </c>
      <c r="B13" s="2" t="s">
        <v>349</v>
      </c>
      <c r="H13" s="6" t="s">
        <v>59</v>
      </c>
      <c r="N13" s="3" t="s">
        <v>218</v>
      </c>
      <c r="P13" s="1"/>
      <c r="Q13" s="23"/>
      <c r="R13" s="1369"/>
      <c r="S13" s="29" t="s">
        <v>238</v>
      </c>
      <c r="U13" s="3" t="s">
        <v>101</v>
      </c>
    </row>
    <row r="14" spans="1:23" ht="45" x14ac:dyDescent="0.25">
      <c r="A14" s="2">
        <v>12000</v>
      </c>
      <c r="B14" s="2" t="s">
        <v>30</v>
      </c>
      <c r="H14" s="6" t="s">
        <v>70</v>
      </c>
      <c r="N14" s="3" t="s">
        <v>219</v>
      </c>
      <c r="P14" s="1"/>
      <c r="Q14" s="23"/>
      <c r="R14" s="1369"/>
      <c r="S14" s="29" t="s">
        <v>507</v>
      </c>
      <c r="U14" s="3" t="s">
        <v>102</v>
      </c>
    </row>
    <row r="15" spans="1:23" ht="30" x14ac:dyDescent="0.25">
      <c r="H15" s="6" t="s">
        <v>71</v>
      </c>
      <c r="N15" s="3" t="s">
        <v>220</v>
      </c>
      <c r="P15" s="1"/>
      <c r="Q15" s="23"/>
      <c r="R15" s="1369"/>
      <c r="S15" s="29" t="s">
        <v>238</v>
      </c>
      <c r="U15" s="3" t="s">
        <v>103</v>
      </c>
    </row>
    <row r="16" spans="1:23" ht="30" x14ac:dyDescent="0.25">
      <c r="H16" s="6" t="s">
        <v>72</v>
      </c>
      <c r="N16" s="3" t="s">
        <v>221</v>
      </c>
      <c r="P16" s="1"/>
      <c r="Q16" s="23"/>
      <c r="R16" s="1369"/>
      <c r="S16" s="29" t="s">
        <v>508</v>
      </c>
      <c r="U16" s="3" t="s">
        <v>104</v>
      </c>
    </row>
    <row r="17" spans="8:21" ht="30" x14ac:dyDescent="0.25">
      <c r="H17" s="6" t="s">
        <v>60</v>
      </c>
      <c r="N17" s="3" t="s">
        <v>222</v>
      </c>
      <c r="P17" s="1"/>
      <c r="Q17" s="23"/>
      <c r="R17" s="1369"/>
      <c r="S17" s="29" t="s">
        <v>509</v>
      </c>
      <c r="U17" s="3" t="s">
        <v>105</v>
      </c>
    </row>
    <row r="18" spans="8:21" ht="30.75" thickBot="1" x14ac:dyDescent="0.3">
      <c r="H18" s="6" t="s">
        <v>61</v>
      </c>
      <c r="N18" s="3" t="s">
        <v>223</v>
      </c>
      <c r="P18" s="1"/>
      <c r="Q18" s="23"/>
      <c r="R18" s="1370"/>
      <c r="S18" s="30" t="s">
        <v>510</v>
      </c>
      <c r="U18" s="3" t="s">
        <v>106</v>
      </c>
    </row>
    <row r="19" spans="8:21" ht="45" customHeight="1" x14ac:dyDescent="0.25">
      <c r="H19" s="6" t="s">
        <v>62</v>
      </c>
      <c r="N19" s="3" t="s">
        <v>224</v>
      </c>
      <c r="P19" s="1"/>
      <c r="Q19" s="23"/>
      <c r="R19" s="1361" t="s">
        <v>4</v>
      </c>
      <c r="S19" s="25" t="s">
        <v>594</v>
      </c>
      <c r="U19" s="3" t="s">
        <v>107</v>
      </c>
    </row>
    <row r="20" spans="8:21" ht="30" x14ac:dyDescent="0.25">
      <c r="H20" s="6" t="s">
        <v>63</v>
      </c>
      <c r="N20" s="3" t="s">
        <v>225</v>
      </c>
      <c r="P20" s="1"/>
      <c r="Q20" s="23"/>
      <c r="R20" s="1362"/>
      <c r="S20" s="26" t="s">
        <v>249</v>
      </c>
      <c r="U20" s="3" t="s">
        <v>108</v>
      </c>
    </row>
    <row r="21" spans="8:21" ht="30" x14ac:dyDescent="0.25">
      <c r="H21" s="6" t="s">
        <v>64</v>
      </c>
      <c r="N21" s="3" t="s">
        <v>226</v>
      </c>
      <c r="P21" s="1"/>
      <c r="Q21" s="23"/>
      <c r="R21" s="1362"/>
      <c r="S21" s="29" t="s">
        <v>626</v>
      </c>
      <c r="U21" s="3" t="s">
        <v>109</v>
      </c>
    </row>
    <row r="22" spans="8:21" ht="30" customHeight="1" x14ac:dyDescent="0.25">
      <c r="N22" s="3" t="s">
        <v>227</v>
      </c>
      <c r="P22" s="1"/>
      <c r="Q22" s="23"/>
      <c r="R22" s="1362"/>
      <c r="S22" s="29" t="s">
        <v>595</v>
      </c>
      <c r="U22" s="3" t="s">
        <v>110</v>
      </c>
    </row>
    <row r="23" spans="8:21" x14ac:dyDescent="0.25">
      <c r="N23" s="3" t="s">
        <v>228</v>
      </c>
      <c r="P23" s="1"/>
      <c r="Q23" s="23"/>
      <c r="R23" s="1362"/>
      <c r="S23" s="29" t="s">
        <v>596</v>
      </c>
      <c r="U23" s="3" t="s">
        <v>111</v>
      </c>
    </row>
    <row r="24" spans="8:21" ht="45" customHeight="1" x14ac:dyDescent="0.25">
      <c r="N24" s="3" t="s">
        <v>229</v>
      </c>
      <c r="P24" s="1"/>
      <c r="Q24" s="23"/>
      <c r="R24" s="1362"/>
      <c r="S24" s="33" t="s">
        <v>627</v>
      </c>
      <c r="U24" s="3" t="s">
        <v>112</v>
      </c>
    </row>
    <row r="25" spans="8:21" ht="45" customHeight="1" x14ac:dyDescent="0.25">
      <c r="N25" s="3" t="s">
        <v>230</v>
      </c>
      <c r="R25" s="1362"/>
      <c r="S25" s="27"/>
    </row>
    <row r="26" spans="8:21" x14ac:dyDescent="0.25">
      <c r="R26" s="1371"/>
      <c r="S26" s="33"/>
    </row>
    <row r="27" spans="8:21" ht="45.75" customHeight="1" x14ac:dyDescent="0.25">
      <c r="R27" s="1372" t="s">
        <v>29</v>
      </c>
      <c r="S27" s="7" t="s">
        <v>398</v>
      </c>
    </row>
    <row r="28" spans="8:21" ht="45" customHeight="1" x14ac:dyDescent="0.25">
      <c r="R28" s="1372"/>
      <c r="S28" s="7" t="s">
        <v>402</v>
      </c>
    </row>
    <row r="29" spans="8:21" x14ac:dyDescent="0.25">
      <c r="R29" s="1372"/>
      <c r="S29" s="7" t="s">
        <v>406</v>
      </c>
    </row>
    <row r="30" spans="8:21" x14ac:dyDescent="0.25">
      <c r="R30" s="1372"/>
      <c r="S30" s="7" t="s">
        <v>410</v>
      </c>
    </row>
    <row r="31" spans="8:21" x14ac:dyDescent="0.25">
      <c r="R31" s="1372"/>
      <c r="S31" s="7" t="s">
        <v>664</v>
      </c>
    </row>
    <row r="32" spans="8:21" ht="30" x14ac:dyDescent="0.25">
      <c r="R32" s="1372"/>
      <c r="S32" s="7" t="s">
        <v>411</v>
      </c>
    </row>
    <row r="33" spans="2:19" x14ac:dyDescent="0.25">
      <c r="R33" s="1372"/>
      <c r="S33" s="7" t="s">
        <v>512</v>
      </c>
    </row>
    <row r="34" spans="2:19" x14ac:dyDescent="0.25">
      <c r="R34" s="1372"/>
      <c r="S34" s="7" t="s">
        <v>628</v>
      </c>
    </row>
    <row r="35" spans="2:19" ht="30" customHeight="1" x14ac:dyDescent="0.25">
      <c r="R35" s="1372"/>
      <c r="S35" s="19" t="s">
        <v>657</v>
      </c>
    </row>
    <row r="36" spans="2:19" x14ac:dyDescent="0.25">
      <c r="R36" s="1372"/>
      <c r="S36" s="19" t="s">
        <v>658</v>
      </c>
    </row>
    <row r="37" spans="2:19" x14ac:dyDescent="0.25">
      <c r="R37" s="1372"/>
      <c r="S37" s="19" t="s">
        <v>631</v>
      </c>
    </row>
    <row r="38" spans="2:19" ht="30" x14ac:dyDescent="0.25">
      <c r="R38" s="1372"/>
      <c r="S38" s="19" t="s">
        <v>822</v>
      </c>
    </row>
    <row r="39" spans="2:19" ht="30" x14ac:dyDescent="0.25">
      <c r="R39" s="1372"/>
      <c r="S39" s="19" t="s">
        <v>821</v>
      </c>
    </row>
    <row r="40" spans="2:19" x14ac:dyDescent="0.25">
      <c r="R40" s="1372"/>
      <c r="S40" s="19" t="s">
        <v>879</v>
      </c>
    </row>
    <row r="41" spans="2:19" ht="45" x14ac:dyDescent="0.25">
      <c r="R41" s="1372"/>
      <c r="S41" s="19" t="s">
        <v>892</v>
      </c>
    </row>
    <row r="42" spans="2:19" x14ac:dyDescent="0.25">
      <c r="R42" s="1372"/>
      <c r="S42" s="19" t="s">
        <v>883</v>
      </c>
    </row>
    <row r="43" spans="2:19" ht="45" x14ac:dyDescent="0.25">
      <c r="R43" s="1372"/>
      <c r="S43" s="19" t="s">
        <v>938</v>
      </c>
    </row>
    <row r="44" spans="2:19" ht="30" x14ac:dyDescent="0.25">
      <c r="R44" s="1372"/>
      <c r="S44" s="19" t="s">
        <v>948</v>
      </c>
    </row>
    <row r="45" spans="2:19" ht="30" x14ac:dyDescent="0.25">
      <c r="R45" s="1372"/>
      <c r="S45" s="19" t="s">
        <v>939</v>
      </c>
    </row>
    <row r="46" spans="2:19" x14ac:dyDescent="0.25">
      <c r="R46" s="1372"/>
      <c r="S46" s="19" t="s">
        <v>949</v>
      </c>
    </row>
    <row r="47" spans="2:19" ht="30" x14ac:dyDescent="0.25">
      <c r="B47" s="5"/>
      <c r="R47" s="1372"/>
      <c r="S47" s="19" t="s">
        <v>672</v>
      </c>
    </row>
    <row r="48" spans="2:19" ht="30" x14ac:dyDescent="0.25">
      <c r="R48" s="1364" t="s">
        <v>5</v>
      </c>
      <c r="S48" s="60" t="s">
        <v>340</v>
      </c>
    </row>
    <row r="49" spans="18:19" x14ac:dyDescent="0.25">
      <c r="R49" s="1364"/>
      <c r="S49" s="26" t="s">
        <v>341</v>
      </c>
    </row>
    <row r="50" spans="18:19" ht="30" x14ac:dyDescent="0.25">
      <c r="R50" s="1364"/>
      <c r="S50" s="26" t="s">
        <v>342</v>
      </c>
    </row>
    <row r="51" spans="18:19" ht="30" x14ac:dyDescent="0.25">
      <c r="R51" s="1364"/>
      <c r="S51" s="26" t="s">
        <v>343</v>
      </c>
    </row>
    <row r="52" spans="18:19" ht="45.75" thickBot="1" x14ac:dyDescent="0.3">
      <c r="R52" s="1365"/>
      <c r="S52" s="32" t="s">
        <v>344</v>
      </c>
    </row>
    <row r="53" spans="18:19" ht="30" x14ac:dyDescent="0.25">
      <c r="R53" s="1366" t="s">
        <v>349</v>
      </c>
      <c r="S53" s="25" t="s">
        <v>360</v>
      </c>
    </row>
    <row r="54" spans="18:19" ht="30" x14ac:dyDescent="0.25">
      <c r="R54" s="1364"/>
      <c r="S54" s="26" t="s">
        <v>437</v>
      </c>
    </row>
    <row r="55" spans="18:19" ht="45" x14ac:dyDescent="0.25">
      <c r="R55" s="1364"/>
      <c r="S55" s="26" t="s">
        <v>370</v>
      </c>
    </row>
    <row r="56" spans="18:19" ht="30" x14ac:dyDescent="0.25">
      <c r="R56" s="1364"/>
      <c r="S56" s="26" t="s">
        <v>438</v>
      </c>
    </row>
    <row r="57" spans="18:19" ht="30" x14ac:dyDescent="0.25">
      <c r="R57" s="1364"/>
      <c r="S57" s="26" t="s">
        <v>440</v>
      </c>
    </row>
    <row r="58" spans="18:19" ht="60" x14ac:dyDescent="0.25">
      <c r="R58" s="1364"/>
      <c r="S58" s="26" t="s">
        <v>441</v>
      </c>
    </row>
    <row r="59" spans="18:19" ht="45" x14ac:dyDescent="0.25">
      <c r="R59" s="1364"/>
      <c r="S59" s="26" t="s">
        <v>442</v>
      </c>
    </row>
    <row r="60" spans="18:19" ht="45" x14ac:dyDescent="0.25">
      <c r="R60" s="1364"/>
      <c r="S60" s="26" t="s">
        <v>445</v>
      </c>
    </row>
    <row r="61" spans="18:19" ht="30" x14ac:dyDescent="0.25">
      <c r="R61" s="1364"/>
      <c r="S61" s="26" t="s">
        <v>446</v>
      </c>
    </row>
    <row r="62" spans="18:19" ht="45" x14ac:dyDescent="0.25">
      <c r="R62" s="1364"/>
      <c r="S62" s="26" t="s">
        <v>453</v>
      </c>
    </row>
    <row r="63" spans="18:19" ht="45" x14ac:dyDescent="0.25">
      <c r="R63" s="1364"/>
      <c r="S63" s="27" t="s">
        <v>714</v>
      </c>
    </row>
    <row r="64" spans="18:19" x14ac:dyDescent="0.25">
      <c r="R64" s="1364"/>
      <c r="S64" s="27" t="s">
        <v>765</v>
      </c>
    </row>
    <row r="65" spans="18:19" ht="30" x14ac:dyDescent="0.25">
      <c r="R65" s="1364"/>
      <c r="S65" s="27" t="s">
        <v>833</v>
      </c>
    </row>
    <row r="66" spans="18:19" ht="60" x14ac:dyDescent="0.25">
      <c r="R66" s="1364"/>
      <c r="S66" s="59" t="s">
        <v>840</v>
      </c>
    </row>
    <row r="67" spans="18:19" ht="75" x14ac:dyDescent="0.25">
      <c r="R67" s="1364"/>
      <c r="S67" s="59" t="s">
        <v>839</v>
      </c>
    </row>
    <row r="68" spans="18:19" ht="45.75" thickBot="1" x14ac:dyDescent="0.3">
      <c r="R68" s="1364"/>
      <c r="S68" s="59" t="s">
        <v>834</v>
      </c>
    </row>
    <row r="69" spans="18:19" x14ac:dyDescent="0.25">
      <c r="R69" s="1361" t="s">
        <v>625</v>
      </c>
      <c r="S69" s="25" t="s">
        <v>673</v>
      </c>
    </row>
    <row r="70" spans="18:19" ht="45" x14ac:dyDescent="0.25">
      <c r="R70" s="1362"/>
      <c r="S70" s="26" t="s">
        <v>674</v>
      </c>
    </row>
    <row r="71" spans="18:19" x14ac:dyDescent="0.25">
      <c r="R71" s="1362"/>
      <c r="S71" s="26" t="s">
        <v>675</v>
      </c>
    </row>
    <row r="72" spans="18:19" ht="30" x14ac:dyDescent="0.25">
      <c r="R72" s="1362"/>
      <c r="S72" s="26" t="s">
        <v>622</v>
      </c>
    </row>
    <row r="73" spans="18:19" x14ac:dyDescent="0.25">
      <c r="R73" s="1362"/>
      <c r="S73" s="26" t="s">
        <v>623</v>
      </c>
    </row>
    <row r="74" spans="18:19" ht="30" x14ac:dyDescent="0.25">
      <c r="R74" s="1362"/>
      <c r="S74" s="26" t="s">
        <v>624</v>
      </c>
    </row>
    <row r="75" spans="18:19" ht="45" x14ac:dyDescent="0.25">
      <c r="R75" s="1362"/>
      <c r="S75" s="26" t="s">
        <v>676</v>
      </c>
    </row>
    <row r="76" spans="18:19" ht="15.75" thickBot="1" x14ac:dyDescent="0.3">
      <c r="R76" s="1363"/>
      <c r="S76" s="31"/>
    </row>
    <row r="77" spans="18:19" ht="30" x14ac:dyDescent="0.25">
      <c r="R77" s="1358" t="s">
        <v>3</v>
      </c>
      <c r="S77" s="157" t="s">
        <v>876</v>
      </c>
    </row>
    <row r="78" spans="18:19" ht="45" x14ac:dyDescent="0.25">
      <c r="R78" s="1359"/>
      <c r="S78" s="158" t="s">
        <v>842</v>
      </c>
    </row>
    <row r="79" spans="18:19" ht="30" x14ac:dyDescent="0.25">
      <c r="R79" s="1359"/>
      <c r="S79" s="158" t="s">
        <v>878</v>
      </c>
    </row>
    <row r="80" spans="18:19" ht="45.75" thickBot="1" x14ac:dyDescent="0.3">
      <c r="R80" s="1360"/>
      <c r="S80" s="158" t="s">
        <v>873</v>
      </c>
    </row>
    <row r="82" spans="21:21" x14ac:dyDescent="0.25">
      <c r="U82">
        <f>15/10</f>
        <v>1.5</v>
      </c>
    </row>
    <row r="83" spans="21:21" x14ac:dyDescent="0.25">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C46"/>
  <sheetViews>
    <sheetView workbookViewId="0">
      <selection activeCell="C10" sqref="C10"/>
    </sheetView>
  </sheetViews>
  <sheetFormatPr baseColWidth="10" defaultRowHeight="15" x14ac:dyDescent="0.25"/>
  <cols>
    <col min="1" max="1" width="33.85546875" customWidth="1"/>
    <col min="2" max="2" width="26.140625" customWidth="1"/>
    <col min="3" max="3" width="25.42578125" customWidth="1"/>
  </cols>
  <sheetData>
    <row r="4" spans="1:3" x14ac:dyDescent="0.25">
      <c r="A4" t="s">
        <v>722</v>
      </c>
      <c r="C4" t="s">
        <v>733</v>
      </c>
    </row>
    <row r="5" spans="1:3" x14ac:dyDescent="0.25">
      <c r="A5" t="s">
        <v>29</v>
      </c>
      <c r="B5" t="s">
        <v>256</v>
      </c>
      <c r="C5" s="20">
        <v>36862182273.800003</v>
      </c>
    </row>
    <row r="7" spans="1:3" x14ac:dyDescent="0.25">
      <c r="A7" t="s">
        <v>724</v>
      </c>
      <c r="C7">
        <v>36862182273.800003</v>
      </c>
    </row>
    <row r="8" spans="1:3" x14ac:dyDescent="0.25">
      <c r="A8" t="s">
        <v>4</v>
      </c>
    </row>
    <row r="9" spans="1:3" x14ac:dyDescent="0.25">
      <c r="A9" t="s">
        <v>256</v>
      </c>
      <c r="C9">
        <v>0</v>
      </c>
    </row>
    <row r="10" spans="1:3" x14ac:dyDescent="0.25">
      <c r="A10" t="s">
        <v>145</v>
      </c>
      <c r="C10">
        <v>42728440868380</v>
      </c>
    </row>
    <row r="11" spans="1:3" x14ac:dyDescent="0.25">
      <c r="A11" t="s">
        <v>153</v>
      </c>
      <c r="C11">
        <v>0</v>
      </c>
    </row>
    <row r="12" spans="1:3" x14ac:dyDescent="0.25">
      <c r="A12" t="s">
        <v>725</v>
      </c>
      <c r="C12">
        <v>42728440868380</v>
      </c>
    </row>
    <row r="13" spans="1:3" x14ac:dyDescent="0.25">
      <c r="A13" t="s">
        <v>6</v>
      </c>
    </row>
    <row r="14" spans="1:3" x14ac:dyDescent="0.25">
      <c r="A14" t="s">
        <v>147</v>
      </c>
      <c r="C14">
        <v>9419435140</v>
      </c>
    </row>
    <row r="15" spans="1:3" x14ac:dyDescent="0.25">
      <c r="A15" t="s">
        <v>256</v>
      </c>
      <c r="C15">
        <v>0</v>
      </c>
    </row>
    <row r="16" spans="1:3" x14ac:dyDescent="0.25">
      <c r="A16" t="s">
        <v>153</v>
      </c>
      <c r="C16">
        <v>0</v>
      </c>
    </row>
    <row r="17" spans="1:3" x14ac:dyDescent="0.25">
      <c r="A17" t="s">
        <v>726</v>
      </c>
      <c r="C17">
        <v>9419435140</v>
      </c>
    </row>
    <row r="18" spans="1:3" x14ac:dyDescent="0.25">
      <c r="A18" t="s">
        <v>26</v>
      </c>
    </row>
    <row r="19" spans="1:3" x14ac:dyDescent="0.25">
      <c r="A19" t="s">
        <v>256</v>
      </c>
      <c r="C19">
        <v>0</v>
      </c>
    </row>
    <row r="20" spans="1:3" x14ac:dyDescent="0.25">
      <c r="A20" t="s">
        <v>144</v>
      </c>
      <c r="C20">
        <v>368855224</v>
      </c>
    </row>
    <row r="21" spans="1:3" x14ac:dyDescent="0.25">
      <c r="A21" t="s">
        <v>153</v>
      </c>
      <c r="C21">
        <v>0</v>
      </c>
    </row>
    <row r="22" spans="1:3" x14ac:dyDescent="0.25">
      <c r="A22" t="s">
        <v>727</v>
      </c>
      <c r="C22">
        <v>368855224</v>
      </c>
    </row>
    <row r="23" spans="1:3" x14ac:dyDescent="0.25">
      <c r="A23" t="s">
        <v>28</v>
      </c>
    </row>
    <row r="24" spans="1:3" x14ac:dyDescent="0.25">
      <c r="A24" t="s">
        <v>256</v>
      </c>
      <c r="C24">
        <v>0</v>
      </c>
    </row>
    <row r="25" spans="1:3" x14ac:dyDescent="0.25">
      <c r="A25" t="s">
        <v>144</v>
      </c>
      <c r="C25">
        <v>30930987540</v>
      </c>
    </row>
    <row r="26" spans="1:3" x14ac:dyDescent="0.25">
      <c r="A26" t="s">
        <v>146</v>
      </c>
      <c r="C26">
        <v>195840000</v>
      </c>
    </row>
    <row r="27" spans="1:3" x14ac:dyDescent="0.25">
      <c r="A27" t="s">
        <v>153</v>
      </c>
      <c r="C27">
        <v>0</v>
      </c>
    </row>
    <row r="28" spans="1:3" x14ac:dyDescent="0.25">
      <c r="A28" t="s">
        <v>728</v>
      </c>
      <c r="C28">
        <v>31126827540</v>
      </c>
    </row>
    <row r="29" spans="1:3" x14ac:dyDescent="0.25">
      <c r="A29" t="s">
        <v>3</v>
      </c>
    </row>
    <row r="30" spans="1:3" x14ac:dyDescent="0.25">
      <c r="A30" t="s">
        <v>256</v>
      </c>
      <c r="C30">
        <v>500000000</v>
      </c>
    </row>
    <row r="31" spans="1:3" x14ac:dyDescent="0.25">
      <c r="A31" t="s">
        <v>153</v>
      </c>
      <c r="C31">
        <v>0</v>
      </c>
    </row>
    <row r="32" spans="1:3" x14ac:dyDescent="0.25">
      <c r="A32" t="s">
        <v>729</v>
      </c>
      <c r="C32">
        <v>500000000</v>
      </c>
    </row>
    <row r="33" spans="1:3" x14ac:dyDescent="0.25">
      <c r="A33" t="s">
        <v>30</v>
      </c>
    </row>
    <row r="34" spans="1:3" x14ac:dyDescent="0.25">
      <c r="A34" t="s">
        <v>256</v>
      </c>
      <c r="C34">
        <v>61642068</v>
      </c>
    </row>
    <row r="35" spans="1:3" x14ac:dyDescent="0.25">
      <c r="A35" t="s">
        <v>153</v>
      </c>
      <c r="C35">
        <v>0</v>
      </c>
    </row>
    <row r="36" spans="1:3" x14ac:dyDescent="0.25">
      <c r="A36" t="s">
        <v>730</v>
      </c>
      <c r="C36">
        <v>61642068</v>
      </c>
    </row>
    <row r="37" spans="1:3" x14ac:dyDescent="0.25">
      <c r="A37" t="s">
        <v>349</v>
      </c>
    </row>
    <row r="38" spans="1:3" x14ac:dyDescent="0.25">
      <c r="A38" t="s">
        <v>256</v>
      </c>
      <c r="C38">
        <v>0</v>
      </c>
    </row>
    <row r="39" spans="1:3" x14ac:dyDescent="0.25">
      <c r="A39" t="s">
        <v>146</v>
      </c>
      <c r="C39">
        <v>2205388943</v>
      </c>
    </row>
    <row r="40" spans="1:3" x14ac:dyDescent="0.25">
      <c r="A40" t="s">
        <v>153</v>
      </c>
      <c r="C40">
        <v>0</v>
      </c>
    </row>
    <row r="41" spans="1:3" x14ac:dyDescent="0.25">
      <c r="A41" t="s">
        <v>731</v>
      </c>
      <c r="C41">
        <v>2205388943</v>
      </c>
    </row>
    <row r="42" spans="1:3" x14ac:dyDescent="0.25">
      <c r="A42" t="s">
        <v>5</v>
      </c>
    </row>
    <row r="43" spans="1:3" x14ac:dyDescent="0.25">
      <c r="A43" t="s">
        <v>256</v>
      </c>
      <c r="C43">
        <v>200000000</v>
      </c>
    </row>
    <row r="44" spans="1:3" x14ac:dyDescent="0.25">
      <c r="A44" t="s">
        <v>153</v>
      </c>
      <c r="C44">
        <v>0</v>
      </c>
    </row>
    <row r="45" spans="1:3" x14ac:dyDescent="0.25">
      <c r="A45" t="s">
        <v>732</v>
      </c>
      <c r="C45">
        <v>200000000</v>
      </c>
    </row>
    <row r="46" spans="1:3" x14ac:dyDescent="0.25">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D182"/>
  <sheetViews>
    <sheetView showGridLines="0" tabSelected="1" zoomScale="70" zoomScaleNormal="70" workbookViewId="0">
      <pane ySplit="7" topLeftCell="A8" activePane="bottomLeft" state="frozen"/>
      <selection pane="bottomLeft" activeCell="D9" sqref="D9"/>
    </sheetView>
  </sheetViews>
  <sheetFormatPr baseColWidth="10" defaultRowHeight="15" x14ac:dyDescent="0.25"/>
  <cols>
    <col min="1" max="1" width="12.85546875" customWidth="1"/>
    <col min="2" max="2" width="25.28515625" customWidth="1"/>
    <col min="3" max="3" width="16.5703125" customWidth="1"/>
    <col min="4" max="4" width="40.5703125" customWidth="1"/>
    <col min="5" max="5" width="12.85546875" customWidth="1"/>
    <col min="6" max="6" width="35.7109375" customWidth="1"/>
    <col min="7" max="7" width="12.85546875" style="14" customWidth="1"/>
    <col min="8" max="8" width="12"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customWidth="1"/>
    <col min="25" max="25" width="35.7109375" style="146" customWidth="1"/>
    <col min="26" max="26" width="27.7109375" style="146" customWidth="1"/>
    <col min="27" max="27" width="13.5703125" style="146" customWidth="1"/>
    <col min="28" max="28" width="30.85546875" style="146" customWidth="1"/>
    <col min="29" max="29" width="11.42578125" style="146" customWidth="1"/>
    <col min="30" max="30" width="15.7109375" style="146" customWidth="1"/>
    <col min="31" max="31" width="11.42578125" style="146" customWidth="1"/>
    <col min="32" max="32" width="15.7109375" style="146" customWidth="1"/>
    <col min="33" max="33" width="50.7109375" style="146" customWidth="1"/>
    <col min="34" max="34" width="13.7109375" style="146" customWidth="1"/>
    <col min="35" max="35" width="35.7109375" style="146" customWidth="1"/>
    <col min="36" max="36" width="27.7109375" style="146" customWidth="1"/>
    <col min="37" max="37" width="17.140625" style="146" customWidth="1"/>
    <col min="38" max="38" width="27.7109375" style="146" customWidth="1"/>
    <col min="39" max="39" width="23.140625" style="146" customWidth="1"/>
    <col min="40" max="40" width="18.7109375" style="146" customWidth="1"/>
    <col min="41" max="41" width="18.42578125" style="146" customWidth="1"/>
    <col min="42" max="42" width="15.7109375" style="146" customWidth="1"/>
    <col min="43" max="43" width="50.7109375" style="146" customWidth="1"/>
    <col min="44" max="44" width="13.7109375" style="146" customWidth="1"/>
    <col min="45" max="45" width="35.7109375" style="146" customWidth="1"/>
    <col min="46" max="46" width="27.7109375" style="146" customWidth="1"/>
    <col min="47" max="47" width="18" style="146" customWidth="1"/>
    <col min="48" max="48" width="27.7109375" style="146" customWidth="1"/>
    <col min="49" max="49" width="13.7109375" style="146" customWidth="1"/>
    <col min="50" max="50" width="15.7109375" style="146" customWidth="1"/>
    <col min="51" max="51" width="13.7109375" style="146" customWidth="1"/>
    <col min="52" max="52" width="15.7109375" style="146" customWidth="1"/>
    <col min="53" max="53" width="50.7109375" style="146" customWidth="1"/>
    <col min="54" max="54" width="13.7109375" style="146" customWidth="1"/>
    <col min="55" max="55" width="35.7109375" style="146" customWidth="1"/>
    <col min="56" max="56" width="27.7109375" style="146" customWidth="1"/>
    <col min="57" max="57" width="13.7109375" style="146" customWidth="1"/>
    <col min="58" max="58" width="27.7109375" style="146" customWidth="1"/>
    <col min="59" max="59" width="13.7109375" style="146" customWidth="1"/>
    <col min="60" max="60" width="15.7109375" style="146" customWidth="1"/>
    <col min="61" max="61" width="13.7109375" style="146" customWidth="1"/>
    <col min="62" max="62" width="15.7109375" style="146" customWidth="1"/>
    <col min="63" max="63" width="50.7109375" style="146" customWidth="1"/>
    <col min="64" max="64" width="13.7109375" style="146" customWidth="1"/>
    <col min="65" max="65" width="15.7109375" style="146" customWidth="1"/>
    <col min="66" max="66" width="13.7109375" style="146" customWidth="1"/>
    <col min="67" max="67" width="15.7109375" style="146" customWidth="1"/>
    <col min="68" max="68" width="13.7109375" style="146" customWidth="1"/>
    <col min="69" max="69" width="15.7109375" style="146" customWidth="1"/>
    <col min="70" max="70" width="13.7109375" style="146" customWidth="1"/>
    <col min="71" max="71" width="15.7109375" style="146" customWidth="1"/>
    <col min="72" max="72" width="15.28515625" style="146" customWidth="1"/>
    <col min="73" max="73" width="35.7109375" style="146" customWidth="1"/>
    <col min="74" max="74" width="28" style="146" customWidth="1"/>
    <col min="75" max="75" width="17.85546875" style="146" customWidth="1"/>
    <col min="76" max="76" width="29.140625" style="146" customWidth="1"/>
    <col min="77" max="77" width="14.140625" style="146" customWidth="1"/>
    <col min="78" max="79" width="16.140625" style="146" customWidth="1"/>
    <col min="80" max="80" width="15" style="146" customWidth="1"/>
    <col min="81" max="81" width="50.7109375" style="146" customWidth="1"/>
    <col min="82" max="82" width="61" style="146" customWidth="1"/>
    <col min="83" max="16384" width="11.42578125" style="146"/>
  </cols>
  <sheetData>
    <row r="1" spans="1:82" ht="22.5" customHeight="1" x14ac:dyDescent="0.25">
      <c r="A1" s="1024"/>
      <c r="B1" s="1025"/>
      <c r="C1" s="1030" t="s">
        <v>954</v>
      </c>
      <c r="D1" s="1031"/>
      <c r="E1" s="1031"/>
      <c r="F1" s="1031" t="s">
        <v>955</v>
      </c>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2"/>
      <c r="BO1" s="1033"/>
      <c r="BP1" s="1034"/>
      <c r="BQ1" s="1034"/>
      <c r="BR1" s="1034"/>
      <c r="BS1" s="1035"/>
    </row>
    <row r="2" spans="1:82" ht="24" customHeight="1" x14ac:dyDescent="0.25">
      <c r="A2" s="1026"/>
      <c r="B2" s="1027"/>
      <c r="C2" s="1042" t="s">
        <v>956</v>
      </c>
      <c r="D2" s="1043"/>
      <c r="E2" s="1043"/>
      <c r="F2" s="1044" t="s">
        <v>957</v>
      </c>
      <c r="G2" s="1043" t="s">
        <v>958</v>
      </c>
      <c r="H2" s="1043"/>
      <c r="I2" s="1043"/>
      <c r="J2" s="1043"/>
      <c r="K2" s="1043"/>
      <c r="L2" s="1043"/>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1043"/>
      <c r="AO2" s="1043"/>
      <c r="AP2" s="1043"/>
      <c r="AQ2" s="1043"/>
      <c r="AR2" s="1043"/>
      <c r="AS2" s="1043"/>
      <c r="AT2" s="1043"/>
      <c r="AU2" s="1043"/>
      <c r="AV2" s="1043"/>
      <c r="AW2" s="1043"/>
      <c r="AX2" s="1043"/>
      <c r="AY2" s="1043"/>
      <c r="AZ2" s="1043"/>
      <c r="BA2" s="1043"/>
      <c r="BB2" s="1043"/>
      <c r="BC2" s="1043"/>
      <c r="BD2" s="1043"/>
      <c r="BE2" s="1043"/>
      <c r="BF2" s="1043"/>
      <c r="BG2" s="1043"/>
      <c r="BH2" s="1043"/>
      <c r="BI2" s="1043"/>
      <c r="BJ2" s="1043"/>
      <c r="BK2" s="1043"/>
      <c r="BL2" s="1043"/>
      <c r="BM2" s="1043" t="s">
        <v>959</v>
      </c>
      <c r="BN2" s="1047">
        <v>1</v>
      </c>
      <c r="BO2" s="1036"/>
      <c r="BP2" s="1037"/>
      <c r="BQ2" s="1037"/>
      <c r="BR2" s="1037"/>
      <c r="BS2" s="1038"/>
      <c r="BZ2" s="851"/>
    </row>
    <row r="3" spans="1:82" ht="25.5" customHeight="1" thickBot="1" x14ac:dyDescent="0.3">
      <c r="A3" s="1028"/>
      <c r="B3" s="1029"/>
      <c r="C3" s="1049" t="s">
        <v>852</v>
      </c>
      <c r="D3" s="1046"/>
      <c r="E3" s="1046"/>
      <c r="F3" s="1045"/>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1046"/>
      <c r="AO3" s="1046"/>
      <c r="AP3" s="1046"/>
      <c r="AQ3" s="1046"/>
      <c r="AR3" s="1046"/>
      <c r="AS3" s="1046"/>
      <c r="AT3" s="1046"/>
      <c r="AU3" s="1046"/>
      <c r="AV3" s="1046"/>
      <c r="AW3" s="1046"/>
      <c r="AX3" s="1046"/>
      <c r="AY3" s="1046"/>
      <c r="AZ3" s="1046"/>
      <c r="BA3" s="1046"/>
      <c r="BB3" s="1046"/>
      <c r="BC3" s="1046"/>
      <c r="BD3" s="1046"/>
      <c r="BE3" s="1046"/>
      <c r="BF3" s="1046"/>
      <c r="BG3" s="1046"/>
      <c r="BH3" s="1046"/>
      <c r="BI3" s="1046"/>
      <c r="BJ3" s="1046"/>
      <c r="BK3" s="1046"/>
      <c r="BL3" s="1046"/>
      <c r="BM3" s="1046"/>
      <c r="BN3" s="1048"/>
      <c r="BO3" s="1039"/>
      <c r="BP3" s="1040"/>
      <c r="BQ3" s="1040"/>
      <c r="BR3" s="1040"/>
      <c r="BS3" s="1041"/>
    </row>
    <row r="4" spans="1:82" ht="15.75" x14ac:dyDescent="0.25">
      <c r="D4" s="439"/>
      <c r="E4" s="439"/>
      <c r="F4" s="439"/>
      <c r="G4" s="439"/>
      <c r="H4" s="439"/>
      <c r="I4" s="439"/>
      <c r="J4" s="439"/>
      <c r="K4" s="439"/>
      <c r="L4" s="439"/>
      <c r="M4" s="439"/>
    </row>
    <row r="5" spans="1:82" ht="16.5" thickBot="1" x14ac:dyDescent="0.3">
      <c r="A5" s="459" t="s">
        <v>766</v>
      </c>
      <c r="D5" s="1050"/>
      <c r="E5" s="1050"/>
      <c r="F5" s="1050"/>
      <c r="G5" s="1050"/>
      <c r="H5" s="1050"/>
      <c r="I5" s="1050"/>
      <c r="J5" s="1050"/>
      <c r="K5" s="1050"/>
      <c r="L5" s="1050"/>
      <c r="M5" s="1050"/>
      <c r="O5" s="48"/>
      <c r="Z5" s="851"/>
      <c r="AB5" s="851"/>
    </row>
    <row r="6" spans="1:82" ht="15.75" thickBot="1" x14ac:dyDescent="0.3">
      <c r="A6" s="173"/>
      <c r="B6" s="173"/>
      <c r="C6" s="173"/>
      <c r="D6" s="173"/>
      <c r="E6" s="173"/>
      <c r="F6" s="173"/>
      <c r="G6" s="263"/>
      <c r="H6" s="173"/>
      <c r="I6" s="173"/>
      <c r="J6" s="173"/>
      <c r="K6" s="173"/>
      <c r="L6" s="173"/>
      <c r="M6" s="173"/>
      <c r="N6" s="264"/>
      <c r="O6" s="173"/>
      <c r="P6" s="173"/>
      <c r="Q6" s="173"/>
      <c r="R6" s="173"/>
      <c r="S6" s="173"/>
      <c r="T6" s="173"/>
      <c r="U6" s="173"/>
      <c r="V6" s="173"/>
      <c r="W6" s="173"/>
      <c r="X6" s="1018" t="s">
        <v>771</v>
      </c>
      <c r="Y6" s="1019"/>
      <c r="Z6" s="1019"/>
      <c r="AA6" s="1019"/>
      <c r="AB6" s="1019"/>
      <c r="AC6" s="1019"/>
      <c r="AD6" s="1019"/>
      <c r="AE6" s="1019"/>
      <c r="AF6" s="1019"/>
      <c r="AG6" s="1020"/>
      <c r="AH6" s="1015" t="s">
        <v>773</v>
      </c>
      <c r="AI6" s="1016"/>
      <c r="AJ6" s="1016"/>
      <c r="AK6" s="1016"/>
      <c r="AL6" s="1016"/>
      <c r="AM6" s="1016"/>
      <c r="AN6" s="1016"/>
      <c r="AO6" s="1016"/>
      <c r="AP6" s="1016"/>
      <c r="AQ6" s="1017"/>
      <c r="AR6" s="1018" t="s">
        <v>772</v>
      </c>
      <c r="AS6" s="1019"/>
      <c r="AT6" s="1019"/>
      <c r="AU6" s="1019"/>
      <c r="AV6" s="1019"/>
      <c r="AW6" s="1019"/>
      <c r="AX6" s="1019"/>
      <c r="AY6" s="1019"/>
      <c r="AZ6" s="1019"/>
      <c r="BA6" s="1020"/>
      <c r="BB6" s="1015" t="s">
        <v>774</v>
      </c>
      <c r="BC6" s="1016"/>
      <c r="BD6" s="1016"/>
      <c r="BE6" s="1016"/>
      <c r="BF6" s="1016"/>
      <c r="BG6" s="1016"/>
      <c r="BH6" s="1016"/>
      <c r="BI6" s="1016"/>
      <c r="BJ6" s="1016"/>
      <c r="BK6" s="1017"/>
      <c r="BL6" s="1021" t="s">
        <v>880</v>
      </c>
      <c r="BM6" s="1022"/>
      <c r="BN6" s="1022"/>
      <c r="BO6" s="1022"/>
      <c r="BP6" s="1022"/>
      <c r="BQ6" s="1022"/>
      <c r="BR6" s="1022"/>
      <c r="BS6" s="1023"/>
      <c r="BT6" s="1018" t="s">
        <v>977</v>
      </c>
      <c r="BU6" s="1019"/>
      <c r="BV6" s="1019"/>
      <c r="BW6" s="1019"/>
      <c r="BX6" s="1019"/>
      <c r="BY6" s="1019"/>
      <c r="BZ6" s="1019"/>
      <c r="CA6" s="1019"/>
      <c r="CB6" s="1019"/>
      <c r="CC6" s="1020"/>
    </row>
    <row r="7" spans="1:82" ht="34.5" thickBot="1" x14ac:dyDescent="0.3">
      <c r="A7" s="460" t="s">
        <v>80</v>
      </c>
      <c r="B7" s="461" t="s">
        <v>81</v>
      </c>
      <c r="C7" s="461" t="s">
        <v>142</v>
      </c>
      <c r="D7" s="461" t="s">
        <v>141</v>
      </c>
      <c r="E7" s="461" t="s">
        <v>82</v>
      </c>
      <c r="F7" s="461" t="s">
        <v>119</v>
      </c>
      <c r="G7" s="461" t="s">
        <v>86</v>
      </c>
      <c r="H7" s="461" t="s">
        <v>16</v>
      </c>
      <c r="I7" s="461" t="s">
        <v>83</v>
      </c>
      <c r="J7" s="461" t="s">
        <v>120</v>
      </c>
      <c r="K7" s="461" t="s">
        <v>569</v>
      </c>
      <c r="L7" s="461" t="s">
        <v>12</v>
      </c>
      <c r="M7" s="461" t="s">
        <v>88</v>
      </c>
      <c r="N7" s="461" t="s">
        <v>87</v>
      </c>
      <c r="O7" s="461" t="s">
        <v>90</v>
      </c>
      <c r="P7" s="461" t="s">
        <v>91</v>
      </c>
      <c r="Q7" s="461" t="s">
        <v>13</v>
      </c>
      <c r="R7" s="461" t="s">
        <v>0</v>
      </c>
      <c r="S7" s="461" t="s">
        <v>85</v>
      </c>
      <c r="T7" s="461" t="s">
        <v>16</v>
      </c>
      <c r="U7" s="462" t="s">
        <v>768</v>
      </c>
      <c r="V7" s="462" t="s">
        <v>569</v>
      </c>
      <c r="W7" s="463" t="s">
        <v>17</v>
      </c>
      <c r="X7" s="464" t="s">
        <v>16</v>
      </c>
      <c r="Y7" s="464" t="s">
        <v>120</v>
      </c>
      <c r="Z7" s="464" t="s">
        <v>569</v>
      </c>
      <c r="AA7" s="464" t="s">
        <v>16</v>
      </c>
      <c r="AB7" s="464" t="s">
        <v>569</v>
      </c>
      <c r="AC7" s="464" t="s">
        <v>15</v>
      </c>
      <c r="AD7" s="464" t="s">
        <v>20</v>
      </c>
      <c r="AE7" s="464" t="s">
        <v>15</v>
      </c>
      <c r="AF7" s="464" t="s">
        <v>20</v>
      </c>
      <c r="AG7" s="464" t="s">
        <v>770</v>
      </c>
      <c r="AH7" s="461" t="s">
        <v>16</v>
      </c>
      <c r="AI7" s="461" t="s">
        <v>120</v>
      </c>
      <c r="AJ7" s="461" t="s">
        <v>569</v>
      </c>
      <c r="AK7" s="461" t="s">
        <v>16</v>
      </c>
      <c r="AL7" s="461" t="s">
        <v>569</v>
      </c>
      <c r="AM7" s="461" t="s">
        <v>15</v>
      </c>
      <c r="AN7" s="461" t="s">
        <v>20</v>
      </c>
      <c r="AO7" s="461" t="s">
        <v>15</v>
      </c>
      <c r="AP7" s="461" t="s">
        <v>20</v>
      </c>
      <c r="AQ7" s="461" t="s">
        <v>770</v>
      </c>
      <c r="AR7" s="464" t="s">
        <v>16</v>
      </c>
      <c r="AS7" s="464" t="s">
        <v>120</v>
      </c>
      <c r="AT7" s="464" t="s">
        <v>569</v>
      </c>
      <c r="AU7" s="464" t="s">
        <v>16</v>
      </c>
      <c r="AV7" s="464" t="s">
        <v>569</v>
      </c>
      <c r="AW7" s="464" t="s">
        <v>15</v>
      </c>
      <c r="AX7" s="464" t="s">
        <v>20</v>
      </c>
      <c r="AY7" s="464" t="s">
        <v>15</v>
      </c>
      <c r="AZ7" s="464" t="s">
        <v>20</v>
      </c>
      <c r="BA7" s="464" t="s">
        <v>770</v>
      </c>
      <c r="BB7" s="461" t="s">
        <v>16</v>
      </c>
      <c r="BC7" s="461" t="s">
        <v>120</v>
      </c>
      <c r="BD7" s="461" t="s">
        <v>569</v>
      </c>
      <c r="BE7" s="461" t="s">
        <v>16</v>
      </c>
      <c r="BF7" s="461" t="s">
        <v>569</v>
      </c>
      <c r="BG7" s="461" t="s">
        <v>15</v>
      </c>
      <c r="BH7" s="461" t="s">
        <v>20</v>
      </c>
      <c r="BI7" s="461" t="s">
        <v>15</v>
      </c>
      <c r="BJ7" s="461" t="s">
        <v>20</v>
      </c>
      <c r="BK7" s="461" t="s">
        <v>770</v>
      </c>
      <c r="BL7" s="465" t="s">
        <v>15</v>
      </c>
      <c r="BM7" s="465" t="s">
        <v>20</v>
      </c>
      <c r="BN7" s="465" t="s">
        <v>15</v>
      </c>
      <c r="BO7" s="465" t="s">
        <v>20</v>
      </c>
      <c r="BP7" s="465" t="s">
        <v>15</v>
      </c>
      <c r="BQ7" s="465" t="s">
        <v>20</v>
      </c>
      <c r="BR7" s="465" t="s">
        <v>15</v>
      </c>
      <c r="BS7" s="465" t="s">
        <v>20</v>
      </c>
      <c r="BT7" s="464" t="s">
        <v>16</v>
      </c>
      <c r="BU7" s="464" t="s">
        <v>120</v>
      </c>
      <c r="BV7" s="464" t="s">
        <v>569</v>
      </c>
      <c r="BW7" s="464" t="s">
        <v>16</v>
      </c>
      <c r="BX7" s="464" t="s">
        <v>569</v>
      </c>
      <c r="BY7" s="464" t="s">
        <v>15</v>
      </c>
      <c r="BZ7" s="464" t="s">
        <v>20</v>
      </c>
      <c r="CA7" s="464" t="s">
        <v>15</v>
      </c>
      <c r="CB7" s="464" t="s">
        <v>20</v>
      </c>
      <c r="CC7" s="464" t="s">
        <v>770</v>
      </c>
      <c r="CD7" s="464" t="s">
        <v>1208</v>
      </c>
    </row>
    <row r="8" spans="1:82" s="428" customFormat="1" ht="51" x14ac:dyDescent="0.25">
      <c r="A8" s="489">
        <v>11200</v>
      </c>
      <c r="B8" s="490" t="s">
        <v>3</v>
      </c>
      <c r="C8" s="491" t="s">
        <v>291</v>
      </c>
      <c r="D8" s="490" t="s">
        <v>153</v>
      </c>
      <c r="E8" s="491" t="s">
        <v>818</v>
      </c>
      <c r="F8" s="490" t="s">
        <v>133</v>
      </c>
      <c r="G8" s="492" t="s">
        <v>124</v>
      </c>
      <c r="H8" s="491">
        <v>4</v>
      </c>
      <c r="I8" s="491" t="s">
        <v>292</v>
      </c>
      <c r="J8" s="490" t="s">
        <v>24</v>
      </c>
      <c r="K8" s="493">
        <v>0</v>
      </c>
      <c r="L8" s="494">
        <v>1</v>
      </c>
      <c r="M8" s="490" t="s">
        <v>51</v>
      </c>
      <c r="N8" s="490" t="s">
        <v>68</v>
      </c>
      <c r="O8" s="490" t="s">
        <v>21</v>
      </c>
      <c r="P8" s="490" t="s">
        <v>36</v>
      </c>
      <c r="Q8" s="490" t="s">
        <v>75</v>
      </c>
      <c r="R8" s="490" t="s">
        <v>631</v>
      </c>
      <c r="S8" s="490" t="s">
        <v>98</v>
      </c>
      <c r="T8" s="491">
        <v>4</v>
      </c>
      <c r="U8" s="490" t="str">
        <f>+J8</f>
        <v>Reportar el cumplimiento del Plan de Acción de la Dependencia</v>
      </c>
      <c r="V8" s="495">
        <f>+K8</f>
        <v>0</v>
      </c>
      <c r="W8" s="496" t="s">
        <v>117</v>
      </c>
      <c r="X8" s="497">
        <v>1</v>
      </c>
      <c r="Y8" s="490" t="str">
        <f>+U8</f>
        <v>Reportar el cumplimiento del Plan de Acción de la Dependencia</v>
      </c>
      <c r="Z8" s="493">
        <v>0</v>
      </c>
      <c r="AA8" s="499">
        <v>1</v>
      </c>
      <c r="AB8" s="557">
        <v>0</v>
      </c>
      <c r="AC8" s="498">
        <f>+(AA8/X8)</f>
        <v>1</v>
      </c>
      <c r="AD8" s="498" t="e">
        <f>+(AB8/Z8)</f>
        <v>#DIV/0!</v>
      </c>
      <c r="AE8" s="498">
        <f>+(AA8/T8)</f>
        <v>0.25</v>
      </c>
      <c r="AF8" s="498" t="e">
        <f>+(AB8/V8)</f>
        <v>#DIV/0!</v>
      </c>
      <c r="AG8" s="498"/>
      <c r="AH8" s="497">
        <v>1</v>
      </c>
      <c r="AI8" s="490" t="str">
        <f>+U8</f>
        <v>Reportar el cumplimiento del Plan de Acción de la Dependencia</v>
      </c>
      <c r="AJ8" s="493">
        <v>0</v>
      </c>
      <c r="AK8" s="757">
        <v>1</v>
      </c>
      <c r="AL8" s="758">
        <v>0</v>
      </c>
      <c r="AM8" s="498">
        <f>+(AK8/AH8)</f>
        <v>1</v>
      </c>
      <c r="AN8" s="498" t="e">
        <f>+(AL8/AJ8)</f>
        <v>#DIV/0!</v>
      </c>
      <c r="AO8" s="498">
        <f>+(AK8+AA8)/T8</f>
        <v>0.5</v>
      </c>
      <c r="AP8" s="498" t="e">
        <f>+(AL8+AB8)/V8</f>
        <v>#DIV/0!</v>
      </c>
      <c r="AQ8" s="190"/>
      <c r="AR8" s="497">
        <v>1</v>
      </c>
      <c r="AS8" s="490" t="str">
        <f>+U8</f>
        <v>Reportar el cumplimiento del Plan de Acción de la Dependencia</v>
      </c>
      <c r="AT8" s="493">
        <v>0</v>
      </c>
      <c r="AU8" s="499"/>
      <c r="AV8" s="499"/>
      <c r="AW8" s="498">
        <f>+(AU8/AR8)</f>
        <v>0</v>
      </c>
      <c r="AX8" s="498" t="e">
        <f>+(AV8/AT8)</f>
        <v>#DIV/0!</v>
      </c>
      <c r="AY8" s="498">
        <f>+(AK8+AA8+AU8)/T8</f>
        <v>0.5</v>
      </c>
      <c r="AZ8" s="498" t="e">
        <f>+(AL8+AB8+AV8)/V8</f>
        <v>#DIV/0!</v>
      </c>
      <c r="BA8" s="498"/>
      <c r="BB8" s="497">
        <v>1</v>
      </c>
      <c r="BC8" s="490" t="str">
        <f>+U8</f>
        <v>Reportar el cumplimiento del Plan de Acción de la Dependencia</v>
      </c>
      <c r="BD8" s="493">
        <v>0</v>
      </c>
      <c r="BE8" s="499"/>
      <c r="BF8" s="499"/>
      <c r="BG8" s="498">
        <f>+(BE8/BB8)</f>
        <v>0</v>
      </c>
      <c r="BH8" s="498" t="e">
        <f>+(BF8/BD8)</f>
        <v>#DIV/0!</v>
      </c>
      <c r="BI8" s="498">
        <f>+(AK8+AA8+AU8+BE8)/T8</f>
        <v>0.5</v>
      </c>
      <c r="BJ8" s="498" t="e">
        <f>+(AL8+AB8+AV8+BF8)/V8</f>
        <v>#DIV/0!</v>
      </c>
      <c r="BK8" s="498"/>
      <c r="BL8" s="558">
        <f>IF(AND(X8=0,AA8=0),"No Prog ni Ejec",IF(X8=0,CONCATENATE("No Prog, Ejec=  ",AA8),AA8/X8))</f>
        <v>1</v>
      </c>
      <c r="BM8" s="558" t="str">
        <f>IF(AND(Z8=0,AB8=0),"No Prog ni Ejec",IF(Z8=0,CONCATENATE("No Prog, Ejec=  ",AB8),AB8/Z8))</f>
        <v>No Prog ni Ejec</v>
      </c>
      <c r="BN8" s="558">
        <f>IF(AND(AH8=0,AK8=0),"No Prog ni Ejec",IF(AH8=0,CONCATENATE("No Prog, Ejec=  ",AK8),AK8/AH8))</f>
        <v>1</v>
      </c>
      <c r="BO8" s="558" t="str">
        <f>IF(AND(AJ8=0,AL8=0),"No Prog ni Ejec",IF(AJ8=0,CONCATENATE("No Prog, Ejec=  ",AL8),AL8/AJ8))</f>
        <v>No Prog ni Ejec</v>
      </c>
      <c r="BP8" s="558">
        <f>IF(AND(AR8=0,AU8=0),"No Prog ni Ejec",IF(AR8=0,CONCATENATE("No Prog, Ejec=  ",AU8),AU8/AR8))</f>
        <v>0</v>
      </c>
      <c r="BQ8" s="558" t="str">
        <f>IF(AND(AT8=0,AV8=0),"No Prog ni Ejec",IF(AT8=0,CONCATENATE("No Prog, Ejec=  ",AV8),AV8/AT8))</f>
        <v>No Prog ni Ejec</v>
      </c>
      <c r="BR8" s="558">
        <f>IF(AND(BB8=0,BE8=0),"No Prog ni Ejec",IF(BB8=0,CONCATENATE("No Prog, Ejec=  ",BE8),BE8/BB8))</f>
        <v>0</v>
      </c>
      <c r="BS8" s="558" t="str">
        <f>IF(AND(BD8=0,BF8=0),"No Prog ni Ejec",IF(BD8=0,CONCATENATE("No Prog, Ejec=  ",BF8),BF8/BD8))</f>
        <v>No Prog ni Ejec</v>
      </c>
      <c r="BT8" s="500">
        <f>+(X8+AH8)</f>
        <v>2</v>
      </c>
      <c r="BU8" s="469" t="str">
        <f>+U8</f>
        <v>Reportar el cumplimiento del Plan de Acción de la Dependencia</v>
      </c>
      <c r="BV8" s="482">
        <f>+(Z8+AJ8+(AT8/3))</f>
        <v>0</v>
      </c>
      <c r="BW8" s="479"/>
      <c r="BX8" s="479"/>
      <c r="BY8" s="479"/>
      <c r="BZ8" s="479"/>
      <c r="CA8" s="479"/>
      <c r="CB8" s="479"/>
      <c r="CC8" s="479"/>
    </row>
    <row r="9" spans="1:82" s="428" customFormat="1" ht="128.25" x14ac:dyDescent="0.25">
      <c r="A9" s="468">
        <v>11200</v>
      </c>
      <c r="B9" s="469" t="s">
        <v>3</v>
      </c>
      <c r="C9" s="470" t="s">
        <v>152</v>
      </c>
      <c r="D9" s="469" t="s">
        <v>256</v>
      </c>
      <c r="E9" s="971" t="s">
        <v>154</v>
      </c>
      <c r="F9" s="969" t="s">
        <v>149</v>
      </c>
      <c r="G9" s="471" t="s">
        <v>124</v>
      </c>
      <c r="H9" s="501">
        <v>28</v>
      </c>
      <c r="I9" s="971" t="s">
        <v>155</v>
      </c>
      <c r="J9" s="969" t="s">
        <v>148</v>
      </c>
      <c r="K9" s="978">
        <v>500000000</v>
      </c>
      <c r="L9" s="981">
        <v>1</v>
      </c>
      <c r="M9" s="969" t="s">
        <v>48</v>
      </c>
      <c r="N9" s="969" t="s">
        <v>62</v>
      </c>
      <c r="O9" s="969" t="s">
        <v>37</v>
      </c>
      <c r="P9" s="969" t="s">
        <v>40</v>
      </c>
      <c r="Q9" s="969" t="s">
        <v>227</v>
      </c>
      <c r="R9" s="469" t="s">
        <v>876</v>
      </c>
      <c r="S9" s="469" t="s">
        <v>99</v>
      </c>
      <c r="T9" s="502">
        <v>28</v>
      </c>
      <c r="U9" s="1004" t="str">
        <f>+J9</f>
        <v>Diseño y ejecución de estrategias de campaña Marketing para la ADRES.</v>
      </c>
      <c r="V9" s="1001">
        <f>+K9</f>
        <v>500000000</v>
      </c>
      <c r="W9" s="971" t="s">
        <v>114</v>
      </c>
      <c r="X9" s="503">
        <v>7</v>
      </c>
      <c r="Y9" s="1373" t="str">
        <f>+U9</f>
        <v>Diseño y ejecución de estrategias de campaña Marketing para la ADRES.</v>
      </c>
      <c r="Z9" s="978">
        <v>150000000</v>
      </c>
      <c r="AA9" s="503">
        <f>58/3</f>
        <v>19.333333333333332</v>
      </c>
      <c r="AB9" s="978">
        <v>0</v>
      </c>
      <c r="AC9" s="478">
        <f>+(AA9/X9)</f>
        <v>2.7619047619047619</v>
      </c>
      <c r="AD9" s="995">
        <f>+(AB9/Z9)</f>
        <v>0</v>
      </c>
      <c r="AE9" s="478">
        <f>+(AA9/T9)</f>
        <v>0.69047619047619047</v>
      </c>
      <c r="AF9" s="995">
        <f t="shared" ref="AF9:AF75" si="0">+(AB9/V9)</f>
        <v>0</v>
      </c>
      <c r="AG9" s="504"/>
      <c r="AH9" s="503">
        <v>7</v>
      </c>
      <c r="AI9" s="1373" t="str">
        <f>+U9</f>
        <v>Diseño y ejecución de estrategias de campaña Marketing para la ADRES.</v>
      </c>
      <c r="AJ9" s="978">
        <v>150000000</v>
      </c>
      <c r="AK9" s="759">
        <f>48/5</f>
        <v>9.6</v>
      </c>
      <c r="AL9" s="1012">
        <v>0</v>
      </c>
      <c r="AM9" s="478">
        <f>+(AK9/AH9)</f>
        <v>1.3714285714285714</v>
      </c>
      <c r="AN9" s="995">
        <f t="shared" ref="AN9:AN75" si="1">+(AL9/AJ9)</f>
        <v>0</v>
      </c>
      <c r="AO9" s="478">
        <f t="shared" ref="AO9:AO75" si="2">+(AK9+AA9)/T9</f>
        <v>1.0333333333333332</v>
      </c>
      <c r="AP9" s="995">
        <f t="shared" ref="AP9:AP75" si="3">+(AL9+AB9)/V9</f>
        <v>0</v>
      </c>
      <c r="AQ9" s="761" t="s">
        <v>1152</v>
      </c>
      <c r="AR9" s="503">
        <v>7</v>
      </c>
      <c r="AS9" s="1373" t="str">
        <f>+U9</f>
        <v>Diseño y ejecución de estrategias de campaña Marketing para la ADRES.</v>
      </c>
      <c r="AT9" s="978">
        <v>150000000</v>
      </c>
      <c r="AU9" s="479"/>
      <c r="AV9" s="992"/>
      <c r="AW9" s="478">
        <f>+(AU9/AR9)</f>
        <v>0</v>
      </c>
      <c r="AX9" s="995">
        <f>+(AV9/AT9)</f>
        <v>0</v>
      </c>
      <c r="AY9" s="478">
        <f>+(AK9+AA9+AU9)/T9</f>
        <v>1.0333333333333332</v>
      </c>
      <c r="AZ9" s="995">
        <f>+(AL9+AB9+AV9)/V9</f>
        <v>0</v>
      </c>
      <c r="BA9" s="504"/>
      <c r="BB9" s="503">
        <v>7</v>
      </c>
      <c r="BC9" s="1373" t="str">
        <f>+U9</f>
        <v>Diseño y ejecución de estrategias de campaña Marketing para la ADRES.</v>
      </c>
      <c r="BD9" s="978">
        <v>50000000</v>
      </c>
      <c r="BE9" s="479"/>
      <c r="BF9" s="992"/>
      <c r="BG9" s="478">
        <f t="shared" ref="BG9:BG11" si="4">+(BE9/BB9)</f>
        <v>0</v>
      </c>
      <c r="BH9" s="995">
        <f t="shared" ref="BH9" si="5">+(BF9/BD9)</f>
        <v>0</v>
      </c>
      <c r="BI9" s="478">
        <f>+(AK9+AA9+AU9+BE9)/T9</f>
        <v>1.0333333333333332</v>
      </c>
      <c r="BJ9" s="995">
        <f>+(AL9+AB9+AV9+BF9)/V9</f>
        <v>0</v>
      </c>
      <c r="BK9" s="504"/>
      <c r="BL9" s="533">
        <f t="shared" ref="BL9:BL75" si="6">IF(AND(X9=0,AA9=0),"No Prog ni Ejec",IF(X9=0,CONCATENATE("No Prog, Ejec=  ",AA9),AA9/X9))</f>
        <v>2.7619047619047619</v>
      </c>
      <c r="BM9" s="984">
        <f t="shared" ref="BM9:BM75" si="7">IF(AND(Z9=0,AB9=0),"No Prog ni Ejec",IF(Z9=0,CONCATENATE("No Prog, Ejec=  ",AB9),AB9/Z9))</f>
        <v>0</v>
      </c>
      <c r="BN9" s="533">
        <f t="shared" ref="BN9:BN75" si="8">IF(AND(AH9=0,AK9=0),"No Prog ni Ejec",IF(AH9=0,CONCATENATE("No Prog, Ejec=  ",AK9),AK9/AH9))</f>
        <v>1.3714285714285714</v>
      </c>
      <c r="BO9" s="984">
        <f t="shared" ref="BO9:BO75" si="9">IF(AND(AJ9=0,AL9=0),"No Prog ni Ejec",IF(AJ9=0,CONCATENATE("No Prog, Ejec=  ",AL9),AL9/AJ9))</f>
        <v>0</v>
      </c>
      <c r="BP9" s="533">
        <f>IF(AND(AR9=0,AU9=0),"No Prog ni Ejec",IF(AR9=0,CONCATENATE("No Prog, Ejec=  ",AU9),AU9/AR9))</f>
        <v>0</v>
      </c>
      <c r="BQ9" s="984">
        <f>IF(AND(AT9=0,AV9=0),"No Prog ni Ejec",IF(AT9=0,CONCATENATE("No Prog, Ejec=  ",AV9),AV9/AT9))</f>
        <v>0</v>
      </c>
      <c r="BR9" s="533">
        <f t="shared" ref="BR9:BR75" si="10">IF(AND(BB9=0,BE9=0),"No Prog ni Ejec",IF(BB9=0,CONCATENATE("No Prog, Ejec=  ",BE9),BE9/BB9))</f>
        <v>0</v>
      </c>
      <c r="BS9" s="984">
        <f t="shared" ref="BS9:BS75" si="11">IF(AND(BD9=0,BF9=0),"No Prog ni Ejec",IF(BD9=0,CONCATENATE("No Prog, Ejec=  ",BF9),BF9/BD9))</f>
        <v>0</v>
      </c>
      <c r="BT9" s="500">
        <f>+(X9+AH9+(AR9/3))</f>
        <v>16.333333333333332</v>
      </c>
      <c r="BU9" s="983" t="str">
        <f>+U9</f>
        <v>Diseño y ejecución de estrategias de campaña Marketing para la ADRES.</v>
      </c>
      <c r="BV9" s="482">
        <f>+(Z9+AJ9+(AT9/3))</f>
        <v>350000000</v>
      </c>
      <c r="BW9" s="479"/>
      <c r="BX9" s="479"/>
      <c r="BY9" s="479"/>
      <c r="BZ9" s="479"/>
      <c r="CA9" s="479"/>
      <c r="CB9" s="479"/>
      <c r="CC9" s="479"/>
    </row>
    <row r="10" spans="1:82" s="428" customFormat="1" ht="89.25" x14ac:dyDescent="0.25">
      <c r="A10" s="468">
        <v>11200</v>
      </c>
      <c r="B10" s="469" t="s">
        <v>3</v>
      </c>
      <c r="C10" s="470" t="s">
        <v>152</v>
      </c>
      <c r="D10" s="469" t="s">
        <v>256</v>
      </c>
      <c r="E10" s="1009"/>
      <c r="F10" s="977"/>
      <c r="G10" s="471" t="s">
        <v>877</v>
      </c>
      <c r="H10" s="472">
        <v>1</v>
      </c>
      <c r="I10" s="1009"/>
      <c r="J10" s="977"/>
      <c r="K10" s="980"/>
      <c r="L10" s="982"/>
      <c r="M10" s="977"/>
      <c r="N10" s="977"/>
      <c r="O10" s="977"/>
      <c r="P10" s="977"/>
      <c r="Q10" s="977"/>
      <c r="R10" s="469" t="s">
        <v>842</v>
      </c>
      <c r="S10" s="469" t="s">
        <v>99</v>
      </c>
      <c r="T10" s="472">
        <v>1</v>
      </c>
      <c r="U10" s="1008"/>
      <c r="V10" s="1002"/>
      <c r="W10" s="1009"/>
      <c r="X10" s="472">
        <v>0.3</v>
      </c>
      <c r="Y10" s="977"/>
      <c r="Z10" s="980"/>
      <c r="AA10" s="472">
        <f>(738-444)/444</f>
        <v>0.66216216216216217</v>
      </c>
      <c r="AB10" s="980"/>
      <c r="AC10" s="478">
        <f>+(AA10/X10)</f>
        <v>2.2072072072072073</v>
      </c>
      <c r="AD10" s="996"/>
      <c r="AE10" s="478">
        <f>+(AA10/T10)</f>
        <v>0.66216216216216217</v>
      </c>
      <c r="AF10" s="996"/>
      <c r="AG10" s="505"/>
      <c r="AH10" s="472">
        <v>0.3</v>
      </c>
      <c r="AI10" s="977"/>
      <c r="AJ10" s="980"/>
      <c r="AK10" s="760">
        <f>(1225-738)/738</f>
        <v>0.65989159891598914</v>
      </c>
      <c r="AL10" s="1013"/>
      <c r="AM10" s="478">
        <f>+(AK10/AH10)</f>
        <v>2.1996386630532974</v>
      </c>
      <c r="AN10" s="996"/>
      <c r="AO10" s="478">
        <f t="shared" si="2"/>
        <v>1.3220537610781513</v>
      </c>
      <c r="AP10" s="996"/>
      <c r="AQ10" s="762" t="s">
        <v>1094</v>
      </c>
      <c r="AR10" s="472">
        <v>0.3</v>
      </c>
      <c r="AS10" s="977"/>
      <c r="AT10" s="980"/>
      <c r="AU10" s="479"/>
      <c r="AV10" s="993"/>
      <c r="AW10" s="478">
        <f>+(AU10/AR10)</f>
        <v>0</v>
      </c>
      <c r="AX10" s="996"/>
      <c r="AY10" s="478">
        <f>+(AK10+AA10+AU10)/T10</f>
        <v>1.3220537610781513</v>
      </c>
      <c r="AZ10" s="996"/>
      <c r="BA10" s="505"/>
      <c r="BB10" s="472">
        <v>0.3</v>
      </c>
      <c r="BC10" s="977"/>
      <c r="BD10" s="980"/>
      <c r="BE10" s="479"/>
      <c r="BF10" s="993"/>
      <c r="BG10" s="478">
        <f t="shared" si="4"/>
        <v>0</v>
      </c>
      <c r="BH10" s="996"/>
      <c r="BI10" s="478">
        <f>+(AK10+AA10+AU10+BE10)/T10</f>
        <v>1.3220537610781513</v>
      </c>
      <c r="BJ10" s="996"/>
      <c r="BK10" s="505"/>
      <c r="BL10" s="533">
        <f t="shared" si="6"/>
        <v>2.2072072072072073</v>
      </c>
      <c r="BM10" s="985"/>
      <c r="BN10" s="533">
        <f t="shared" si="8"/>
        <v>2.1996386630532974</v>
      </c>
      <c r="BO10" s="985"/>
      <c r="BP10" s="533">
        <f t="shared" ref="BP10:BP11" si="12">IF(AND(AR10=0,AU10=0),"No Prog ni Ejec",IF(AR10=0,CONCATENATE("No Prog, Ejec=  ",AU10),AU10/AR10))</f>
        <v>0</v>
      </c>
      <c r="BQ10" s="985"/>
      <c r="BR10" s="533">
        <f t="shared" si="10"/>
        <v>0</v>
      </c>
      <c r="BS10" s="985"/>
      <c r="BT10" s="480">
        <f>+(X10+AH10+(AR10/3))</f>
        <v>0.7</v>
      </c>
      <c r="BU10" s="983"/>
      <c r="BV10" s="482">
        <f t="shared" ref="BV10:BV73" si="13">+(Z10+AJ10+(AT10/3))</f>
        <v>0</v>
      </c>
      <c r="BW10" s="479"/>
      <c r="BX10" s="479"/>
      <c r="BY10" s="479"/>
      <c r="BZ10" s="479"/>
      <c r="CA10" s="479"/>
      <c r="CB10" s="479"/>
      <c r="CC10" s="479"/>
    </row>
    <row r="11" spans="1:82" s="428" customFormat="1" ht="178.5" x14ac:dyDescent="0.25">
      <c r="A11" s="468">
        <v>11200</v>
      </c>
      <c r="B11" s="469" t="s">
        <v>3</v>
      </c>
      <c r="C11" s="470" t="s">
        <v>152</v>
      </c>
      <c r="D11" s="469" t="s">
        <v>256</v>
      </c>
      <c r="E11" s="972"/>
      <c r="F11" s="970"/>
      <c r="G11" s="471" t="s">
        <v>877</v>
      </c>
      <c r="H11" s="484" t="s">
        <v>1215</v>
      </c>
      <c r="I11" s="972"/>
      <c r="J11" s="970"/>
      <c r="K11" s="979"/>
      <c r="L11" s="1010"/>
      <c r="M11" s="970"/>
      <c r="N11" s="970"/>
      <c r="O11" s="970"/>
      <c r="P11" s="970"/>
      <c r="Q11" s="970"/>
      <c r="R11" s="469" t="s">
        <v>878</v>
      </c>
      <c r="S11" s="469" t="s">
        <v>99</v>
      </c>
      <c r="T11" s="484" t="s">
        <v>1215</v>
      </c>
      <c r="U11" s="1005"/>
      <c r="V11" s="1003"/>
      <c r="W11" s="972"/>
      <c r="X11" s="484" t="s">
        <v>1215</v>
      </c>
      <c r="Y11" s="970"/>
      <c r="Z11" s="979"/>
      <c r="AA11" s="472" t="s">
        <v>792</v>
      </c>
      <c r="AB11" s="979"/>
      <c r="AC11" s="478" t="s">
        <v>792</v>
      </c>
      <c r="AD11" s="997"/>
      <c r="AE11" s="478" t="s">
        <v>792</v>
      </c>
      <c r="AF11" s="997"/>
      <c r="AG11" s="483" t="s">
        <v>885</v>
      </c>
      <c r="AH11" s="484" t="s">
        <v>1215</v>
      </c>
      <c r="AI11" s="970"/>
      <c r="AJ11" s="979"/>
      <c r="AK11" s="760">
        <f>(1654948-1521776)/1521776</f>
        <v>8.7510908307135871E-2</v>
      </c>
      <c r="AL11" s="1014"/>
      <c r="AM11" s="478" t="e">
        <f>+(AK11/AH11)</f>
        <v>#VALUE!</v>
      </c>
      <c r="AN11" s="997"/>
      <c r="AO11" s="478" t="e">
        <f>+(AK11+AA11)/T11</f>
        <v>#VALUE!</v>
      </c>
      <c r="AP11" s="997"/>
      <c r="AQ11" s="750"/>
      <c r="AR11" s="669">
        <v>0.05</v>
      </c>
      <c r="AS11" s="970"/>
      <c r="AT11" s="979"/>
      <c r="AU11" s="479"/>
      <c r="AV11" s="994"/>
      <c r="AW11" s="478">
        <f>+(AU11/AR11)</f>
        <v>0</v>
      </c>
      <c r="AX11" s="997"/>
      <c r="AY11" s="478" t="e">
        <f>+(AK11+AA11+AU11)/T11</f>
        <v>#VALUE!</v>
      </c>
      <c r="AZ11" s="997"/>
      <c r="BA11" s="506"/>
      <c r="BB11" s="669">
        <v>0.05</v>
      </c>
      <c r="BC11" s="970"/>
      <c r="BD11" s="979"/>
      <c r="BE11" s="479"/>
      <c r="BF11" s="994"/>
      <c r="BG11" s="478">
        <f t="shared" si="4"/>
        <v>0</v>
      </c>
      <c r="BH11" s="997"/>
      <c r="BI11" s="478" t="e">
        <f>+(AK11+AA11+AU11+BE11)/T11</f>
        <v>#VALUE!</v>
      </c>
      <c r="BJ11" s="997"/>
      <c r="BK11" s="506"/>
      <c r="BL11" s="533" t="e">
        <f t="shared" si="6"/>
        <v>#VALUE!</v>
      </c>
      <c r="BM11" s="986"/>
      <c r="BN11" s="533" t="e">
        <f t="shared" si="8"/>
        <v>#VALUE!</v>
      </c>
      <c r="BO11" s="986"/>
      <c r="BP11" s="533">
        <f t="shared" si="12"/>
        <v>0</v>
      </c>
      <c r="BQ11" s="986"/>
      <c r="BR11" s="533">
        <f t="shared" si="10"/>
        <v>0</v>
      </c>
      <c r="BS11" s="986"/>
      <c r="BT11" s="480" t="e">
        <f t="shared" ref="BT11:BT75" si="14">+(X11+AH11+(AR11/3))</f>
        <v>#VALUE!</v>
      </c>
      <c r="BU11" s="983"/>
      <c r="BV11" s="482">
        <f t="shared" si="13"/>
        <v>0</v>
      </c>
      <c r="BW11" s="479"/>
      <c r="BX11" s="479"/>
      <c r="BY11" s="479"/>
      <c r="BZ11" s="479"/>
      <c r="CA11" s="479"/>
      <c r="CB11" s="479"/>
      <c r="CC11" s="479"/>
    </row>
    <row r="12" spans="1:82" s="428" customFormat="1" ht="51" x14ac:dyDescent="0.25">
      <c r="A12" s="468">
        <v>11300</v>
      </c>
      <c r="B12" s="469" t="s">
        <v>4</v>
      </c>
      <c r="C12" s="470" t="s">
        <v>150</v>
      </c>
      <c r="D12" s="469" t="s">
        <v>153</v>
      </c>
      <c r="E12" s="470" t="s">
        <v>151</v>
      </c>
      <c r="F12" s="469" t="s">
        <v>133</v>
      </c>
      <c r="G12" s="471" t="s">
        <v>124</v>
      </c>
      <c r="H12" s="470">
        <v>4</v>
      </c>
      <c r="I12" s="470" t="s">
        <v>293</v>
      </c>
      <c r="J12" s="469" t="s">
        <v>24</v>
      </c>
      <c r="K12" s="473">
        <v>0</v>
      </c>
      <c r="L12" s="474">
        <v>1</v>
      </c>
      <c r="M12" s="469" t="s">
        <v>51</v>
      </c>
      <c r="N12" s="469" t="s">
        <v>68</v>
      </c>
      <c r="O12" s="469" t="s">
        <v>21</v>
      </c>
      <c r="P12" s="469" t="s">
        <v>36</v>
      </c>
      <c r="Q12" s="469" t="s">
        <v>75</v>
      </c>
      <c r="R12" s="469" t="s">
        <v>631</v>
      </c>
      <c r="S12" s="469" t="s">
        <v>98</v>
      </c>
      <c r="T12" s="470">
        <v>4</v>
      </c>
      <c r="U12" s="475" t="str">
        <f t="shared" ref="U12:V76" si="15">+J12</f>
        <v>Reportar el cumplimiento del Plan de Acción de la Dependencia</v>
      </c>
      <c r="V12" s="476">
        <f t="shared" ref="V12:V76" si="16">+K12</f>
        <v>0</v>
      </c>
      <c r="W12" s="477" t="s">
        <v>117</v>
      </c>
      <c r="X12" s="501">
        <v>1</v>
      </c>
      <c r="Y12" s="484" t="str">
        <f>+U12</f>
        <v>Reportar el cumplimiento del Plan de Acción de la Dependencia</v>
      </c>
      <c r="Z12" s="473">
        <v>0</v>
      </c>
      <c r="AA12" s="479">
        <v>1</v>
      </c>
      <c r="AB12" s="482">
        <v>0</v>
      </c>
      <c r="AC12" s="478">
        <f t="shared" ref="AC12:AC75" si="17">+(AA12/X12)</f>
        <v>1</v>
      </c>
      <c r="AD12" s="478" t="e">
        <f t="shared" ref="AD12:AD75" si="18">+(AB12/Z12)</f>
        <v>#DIV/0!</v>
      </c>
      <c r="AE12" s="478">
        <f t="shared" ref="AE12:AE75" si="19">+(AA12/T12)</f>
        <v>0.25</v>
      </c>
      <c r="AF12" s="478" t="e">
        <f t="shared" si="0"/>
        <v>#DIV/0!</v>
      </c>
      <c r="AG12" s="478"/>
      <c r="AH12" s="501">
        <v>1</v>
      </c>
      <c r="AI12" s="484" t="str">
        <f>+U12</f>
        <v>Reportar el cumplimiento del Plan de Acción de la Dependencia</v>
      </c>
      <c r="AJ12" s="473">
        <v>0</v>
      </c>
      <c r="AK12" s="658">
        <v>1</v>
      </c>
      <c r="AL12" s="616">
        <v>0</v>
      </c>
      <c r="AM12" s="478">
        <f t="shared" ref="AM12:AM75" si="20">+(AK12/AH12)</f>
        <v>1</v>
      </c>
      <c r="AN12" s="478" t="e">
        <f t="shared" si="1"/>
        <v>#DIV/0!</v>
      </c>
      <c r="AO12" s="478">
        <f t="shared" si="2"/>
        <v>0.5</v>
      </c>
      <c r="AP12" s="478" t="e">
        <f t="shared" si="3"/>
        <v>#DIV/0!</v>
      </c>
      <c r="AQ12" s="624" t="s">
        <v>1153</v>
      </c>
      <c r="AR12" s="501">
        <v>1</v>
      </c>
      <c r="AS12" s="484" t="str">
        <f>+U12</f>
        <v>Reportar el cumplimiento del Plan de Acción de la Dependencia</v>
      </c>
      <c r="AT12" s="473">
        <v>0</v>
      </c>
      <c r="AU12" s="479"/>
      <c r="AV12" s="479"/>
      <c r="AW12" s="478">
        <f t="shared" ref="AW12:AW75" si="21">+(AU12/AR12)</f>
        <v>0</v>
      </c>
      <c r="AX12" s="478" t="e">
        <f t="shared" ref="AX12:AX75" si="22">+(AV12/AT12)</f>
        <v>#DIV/0!</v>
      </c>
      <c r="AY12" s="478">
        <f t="shared" ref="AY12:AY75" si="23">+(AK12+AA12+AU12)/T12</f>
        <v>0.5</v>
      </c>
      <c r="AZ12" s="478" t="e">
        <f t="shared" ref="AZ12:AZ75" si="24">+(AL12+AB12+AV12)/V12</f>
        <v>#DIV/0!</v>
      </c>
      <c r="BA12" s="478"/>
      <c r="BB12" s="501">
        <v>1</v>
      </c>
      <c r="BC12" s="484" t="str">
        <f>+U12</f>
        <v>Reportar el cumplimiento del Plan de Acción de la Dependencia</v>
      </c>
      <c r="BD12" s="473">
        <v>0</v>
      </c>
      <c r="BE12" s="479"/>
      <c r="BF12" s="479"/>
      <c r="BG12" s="472">
        <f t="shared" ref="BG12:BG76" si="25">+(BE12/BB12)</f>
        <v>0</v>
      </c>
      <c r="BH12" s="472" t="e">
        <f t="shared" ref="BH12:BH76" si="26">+(BF12/BD12)</f>
        <v>#DIV/0!</v>
      </c>
      <c r="BI12" s="472">
        <f t="shared" ref="BI12:BI76" si="27">+(AK12+AA12+AU12+BE12)/T12</f>
        <v>0.5</v>
      </c>
      <c r="BJ12" s="472" t="e">
        <f t="shared" ref="BJ12:BJ76" si="28">+(AL12+AB12+AV12+BF12)/V12</f>
        <v>#DIV/0!</v>
      </c>
      <c r="BK12" s="472"/>
      <c r="BL12" s="533">
        <f t="shared" si="6"/>
        <v>1</v>
      </c>
      <c r="BM12" s="533" t="str">
        <f t="shared" si="7"/>
        <v>No Prog ni Ejec</v>
      </c>
      <c r="BN12" s="533">
        <f t="shared" si="8"/>
        <v>1</v>
      </c>
      <c r="BO12" s="533" t="str">
        <f t="shared" si="9"/>
        <v>No Prog ni Ejec</v>
      </c>
      <c r="BP12" s="533">
        <f t="shared" ref="BP12:BP75" si="29">IF(AND(AR12=0,AU12=0),"No Prog ni Ejec",IF(AR12=0,CONCATENATE("No Prog, Ejec=  ",AU12),AU12/AR12))</f>
        <v>0</v>
      </c>
      <c r="BQ12" s="533" t="str">
        <f t="shared" ref="BQ12:BQ75" si="30">IF(AND(AT12=0,AV12=0),"No Prog ni Ejec",IF(AT12=0,CONCATENATE("No Prog, Ejec=  ",AV12),AV12/AT12))</f>
        <v>No Prog ni Ejec</v>
      </c>
      <c r="BR12" s="533">
        <f t="shared" si="10"/>
        <v>0</v>
      </c>
      <c r="BS12" s="533" t="str">
        <f t="shared" si="11"/>
        <v>No Prog ni Ejec</v>
      </c>
      <c r="BT12" s="507">
        <f t="shared" si="14"/>
        <v>2.3333333333333335</v>
      </c>
      <c r="BU12" s="481" t="str">
        <f>+U12</f>
        <v>Reportar el cumplimiento del Plan de Acción de la Dependencia</v>
      </c>
      <c r="BV12" s="482">
        <f t="shared" si="13"/>
        <v>0</v>
      </c>
      <c r="BW12" s="479"/>
      <c r="BX12" s="479"/>
      <c r="BY12" s="479"/>
      <c r="BZ12" s="479"/>
      <c r="CA12" s="479"/>
      <c r="CB12" s="479"/>
      <c r="CC12" s="479"/>
    </row>
    <row r="13" spans="1:82" s="428" customFormat="1" ht="89.25" x14ac:dyDescent="0.25">
      <c r="A13" s="468">
        <v>11300</v>
      </c>
      <c r="B13" s="469" t="s">
        <v>4</v>
      </c>
      <c r="C13" s="470" t="s">
        <v>157</v>
      </c>
      <c r="D13" s="469" t="s">
        <v>256</v>
      </c>
      <c r="E13" s="470" t="s">
        <v>576</v>
      </c>
      <c r="F13" s="469" t="s">
        <v>159</v>
      </c>
      <c r="G13" s="471" t="s">
        <v>123</v>
      </c>
      <c r="H13" s="472">
        <v>1</v>
      </c>
      <c r="I13" s="470" t="s">
        <v>577</v>
      </c>
      <c r="J13" s="469" t="s">
        <v>156</v>
      </c>
      <c r="K13" s="473">
        <v>0</v>
      </c>
      <c r="L13" s="474">
        <v>1</v>
      </c>
      <c r="M13" s="469" t="s">
        <v>51</v>
      </c>
      <c r="N13" s="469" t="s">
        <v>68</v>
      </c>
      <c r="O13" s="469" t="s">
        <v>21</v>
      </c>
      <c r="P13" s="469" t="s">
        <v>36</v>
      </c>
      <c r="Q13" s="469" t="s">
        <v>75</v>
      </c>
      <c r="R13" s="469" t="s">
        <v>672</v>
      </c>
      <c r="S13" s="469" t="s">
        <v>98</v>
      </c>
      <c r="T13" s="474">
        <v>1</v>
      </c>
      <c r="U13" s="475" t="str">
        <f t="shared" si="15"/>
        <v>Formular los proceso y procedimientos en el marco del MIPG</v>
      </c>
      <c r="V13" s="476">
        <f t="shared" si="16"/>
        <v>0</v>
      </c>
      <c r="W13" s="477" t="s">
        <v>117</v>
      </c>
      <c r="X13" s="472">
        <v>0.25</v>
      </c>
      <c r="Y13" s="484" t="str">
        <f>+U13</f>
        <v>Formular los proceso y procedimientos en el marco del MIPG</v>
      </c>
      <c r="Z13" s="473">
        <v>0</v>
      </c>
      <c r="AA13" s="480">
        <f>(38/41)*25%</f>
        <v>0.23170731707317074</v>
      </c>
      <c r="AB13" s="482">
        <v>0</v>
      </c>
      <c r="AC13" s="478">
        <f t="shared" si="17"/>
        <v>0.92682926829268297</v>
      </c>
      <c r="AD13" s="478" t="e">
        <f t="shared" si="18"/>
        <v>#DIV/0!</v>
      </c>
      <c r="AE13" s="478">
        <f t="shared" si="19"/>
        <v>0.23170731707317074</v>
      </c>
      <c r="AF13" s="478" t="e">
        <f t="shared" si="0"/>
        <v>#DIV/0!</v>
      </c>
      <c r="AG13" s="478"/>
      <c r="AH13" s="472">
        <v>0.25</v>
      </c>
      <c r="AI13" s="484" t="str">
        <f>+U13</f>
        <v>Formular los proceso y procedimientos en el marco del MIPG</v>
      </c>
      <c r="AJ13" s="473">
        <v>0</v>
      </c>
      <c r="AK13" s="617">
        <f>+(38/47)*25%</f>
        <v>0.20212765957446807</v>
      </c>
      <c r="AL13" s="648">
        <v>0</v>
      </c>
      <c r="AM13" s="478">
        <f t="shared" si="20"/>
        <v>0.80851063829787229</v>
      </c>
      <c r="AN13" s="478" t="e">
        <f t="shared" si="1"/>
        <v>#DIV/0!</v>
      </c>
      <c r="AO13" s="478">
        <f t="shared" si="2"/>
        <v>0.43383497664763881</v>
      </c>
      <c r="AP13" s="478" t="e">
        <f t="shared" si="3"/>
        <v>#DIV/0!</v>
      </c>
      <c r="AQ13" s="683" t="s">
        <v>1154</v>
      </c>
      <c r="AR13" s="472">
        <v>0.25</v>
      </c>
      <c r="AS13" s="484" t="str">
        <f>+U13</f>
        <v>Formular los proceso y procedimientos en el marco del MIPG</v>
      </c>
      <c r="AT13" s="473">
        <v>0</v>
      </c>
      <c r="AU13" s="479"/>
      <c r="AV13" s="479"/>
      <c r="AW13" s="478">
        <f t="shared" si="21"/>
        <v>0</v>
      </c>
      <c r="AX13" s="478" t="e">
        <f t="shared" si="22"/>
        <v>#DIV/0!</v>
      </c>
      <c r="AY13" s="478">
        <f t="shared" si="23"/>
        <v>0.43383497664763881</v>
      </c>
      <c r="AZ13" s="478" t="e">
        <f t="shared" si="24"/>
        <v>#DIV/0!</v>
      </c>
      <c r="BA13" s="478"/>
      <c r="BB13" s="472">
        <v>0.25</v>
      </c>
      <c r="BC13" s="484" t="str">
        <f>+U13</f>
        <v>Formular los proceso y procedimientos en el marco del MIPG</v>
      </c>
      <c r="BD13" s="473">
        <v>0</v>
      </c>
      <c r="BE13" s="479"/>
      <c r="BF13" s="479"/>
      <c r="BG13" s="472">
        <f t="shared" si="25"/>
        <v>0</v>
      </c>
      <c r="BH13" s="472" t="e">
        <f t="shared" si="26"/>
        <v>#DIV/0!</v>
      </c>
      <c r="BI13" s="472">
        <f t="shared" si="27"/>
        <v>0.43383497664763881</v>
      </c>
      <c r="BJ13" s="472" t="e">
        <f t="shared" si="28"/>
        <v>#DIV/0!</v>
      </c>
      <c r="BK13" s="472"/>
      <c r="BL13" s="533">
        <f t="shared" si="6"/>
        <v>0.92682926829268297</v>
      </c>
      <c r="BM13" s="533" t="str">
        <f t="shared" si="7"/>
        <v>No Prog ni Ejec</v>
      </c>
      <c r="BN13" s="533">
        <f t="shared" si="8"/>
        <v>0.80851063829787229</v>
      </c>
      <c r="BO13" s="533" t="str">
        <f t="shared" si="9"/>
        <v>No Prog ni Ejec</v>
      </c>
      <c r="BP13" s="533">
        <f t="shared" si="29"/>
        <v>0</v>
      </c>
      <c r="BQ13" s="533" t="str">
        <f t="shared" si="30"/>
        <v>No Prog ni Ejec</v>
      </c>
      <c r="BR13" s="533">
        <f t="shared" si="10"/>
        <v>0</v>
      </c>
      <c r="BS13" s="533" t="str">
        <f t="shared" si="11"/>
        <v>No Prog ni Ejec</v>
      </c>
      <c r="BT13" s="480">
        <f t="shared" si="14"/>
        <v>0.58333333333333337</v>
      </c>
      <c r="BU13" s="481" t="str">
        <f>+U13</f>
        <v>Formular los proceso y procedimientos en el marco del MIPG</v>
      </c>
      <c r="BV13" s="482">
        <f t="shared" si="13"/>
        <v>0</v>
      </c>
      <c r="BW13" s="479"/>
      <c r="BX13" s="479"/>
      <c r="BY13" s="479"/>
      <c r="BZ13" s="479"/>
      <c r="CA13" s="479"/>
      <c r="CB13" s="479"/>
      <c r="CC13" s="479"/>
    </row>
    <row r="14" spans="1:82" s="428" customFormat="1" ht="89.25" x14ac:dyDescent="0.25">
      <c r="A14" s="468">
        <v>11300</v>
      </c>
      <c r="B14" s="469" t="s">
        <v>4</v>
      </c>
      <c r="C14" s="470" t="s">
        <v>157</v>
      </c>
      <c r="D14" s="469" t="s">
        <v>256</v>
      </c>
      <c r="E14" s="470" t="s">
        <v>158</v>
      </c>
      <c r="F14" s="469" t="s">
        <v>127</v>
      </c>
      <c r="G14" s="471" t="s">
        <v>123</v>
      </c>
      <c r="H14" s="472">
        <v>1</v>
      </c>
      <c r="I14" s="470" t="s">
        <v>294</v>
      </c>
      <c r="J14" s="469" t="s">
        <v>128</v>
      </c>
      <c r="K14" s="473">
        <v>0</v>
      </c>
      <c r="L14" s="474">
        <v>1</v>
      </c>
      <c r="M14" s="469" t="s">
        <v>51</v>
      </c>
      <c r="N14" s="469" t="s">
        <v>68</v>
      </c>
      <c r="O14" s="469" t="s">
        <v>21</v>
      </c>
      <c r="P14" s="469" t="s">
        <v>36</v>
      </c>
      <c r="Q14" s="469" t="s">
        <v>75</v>
      </c>
      <c r="R14" s="469" t="s">
        <v>570</v>
      </c>
      <c r="S14" s="469" t="s">
        <v>98</v>
      </c>
      <c r="T14" s="474">
        <v>1</v>
      </c>
      <c r="U14" s="475" t="str">
        <f t="shared" si="15"/>
        <v>Remitir informes trimestrales de los indicadores formulados y las acciones de mejoras</v>
      </c>
      <c r="V14" s="476">
        <f t="shared" si="16"/>
        <v>0</v>
      </c>
      <c r="W14" s="477" t="s">
        <v>117</v>
      </c>
      <c r="X14" s="472">
        <v>0</v>
      </c>
      <c r="Y14" s="484" t="str">
        <f>+U14</f>
        <v>Remitir informes trimestrales de los indicadores formulados y las acciones de mejoras</v>
      </c>
      <c r="Z14" s="473">
        <v>0</v>
      </c>
      <c r="AA14" s="556">
        <v>0</v>
      </c>
      <c r="AB14" s="482">
        <v>0</v>
      </c>
      <c r="AC14" s="478" t="e">
        <f t="shared" si="17"/>
        <v>#DIV/0!</v>
      </c>
      <c r="AD14" s="478" t="e">
        <f>+(AB14/Z14)</f>
        <v>#DIV/0!</v>
      </c>
      <c r="AE14" s="478">
        <f>+(AA14/T14)</f>
        <v>0</v>
      </c>
      <c r="AF14" s="478" t="e">
        <f>+(AB14/V14)</f>
        <v>#DIV/0!</v>
      </c>
      <c r="AG14" s="478"/>
      <c r="AH14" s="472">
        <v>0</v>
      </c>
      <c r="AI14" s="484" t="str">
        <f>+U14</f>
        <v>Remitir informes trimestrales de los indicadores formulados y las acciones de mejoras</v>
      </c>
      <c r="AJ14" s="473">
        <v>0</v>
      </c>
      <c r="AK14" s="657">
        <v>0</v>
      </c>
      <c r="AL14" s="616">
        <v>0</v>
      </c>
      <c r="AM14" s="478" t="e">
        <f t="shared" si="20"/>
        <v>#DIV/0!</v>
      </c>
      <c r="AN14" s="478" t="e">
        <f t="shared" si="1"/>
        <v>#DIV/0!</v>
      </c>
      <c r="AO14" s="478">
        <f>+(AK14+AA14)/T14</f>
        <v>0</v>
      </c>
      <c r="AP14" s="478" t="e">
        <f t="shared" si="3"/>
        <v>#DIV/0!</v>
      </c>
      <c r="AQ14" s="478"/>
      <c r="AR14" s="472">
        <v>0</v>
      </c>
      <c r="AS14" s="484" t="str">
        <f t="shared" ref="AS14:AS77" si="31">+U14</f>
        <v>Remitir informes trimestrales de los indicadores formulados y las acciones de mejoras</v>
      </c>
      <c r="AT14" s="473">
        <v>0</v>
      </c>
      <c r="AU14" s="479"/>
      <c r="AV14" s="479"/>
      <c r="AW14" s="478" t="e">
        <f t="shared" si="21"/>
        <v>#DIV/0!</v>
      </c>
      <c r="AX14" s="478" t="e">
        <f t="shared" si="22"/>
        <v>#DIV/0!</v>
      </c>
      <c r="AY14" s="478">
        <f t="shared" si="23"/>
        <v>0</v>
      </c>
      <c r="AZ14" s="478" t="e">
        <f t="shared" si="24"/>
        <v>#DIV/0!</v>
      </c>
      <c r="BA14" s="478"/>
      <c r="BB14" s="472">
        <v>1</v>
      </c>
      <c r="BC14" s="484" t="str">
        <f t="shared" ref="BC14:BC77" si="32">+U14</f>
        <v>Remitir informes trimestrales de los indicadores formulados y las acciones de mejoras</v>
      </c>
      <c r="BD14" s="473">
        <v>0</v>
      </c>
      <c r="BE14" s="479"/>
      <c r="BF14" s="479"/>
      <c r="BG14" s="472">
        <f t="shared" si="25"/>
        <v>0</v>
      </c>
      <c r="BH14" s="472" t="e">
        <f t="shared" si="26"/>
        <v>#DIV/0!</v>
      </c>
      <c r="BI14" s="472">
        <f t="shared" si="27"/>
        <v>0</v>
      </c>
      <c r="BJ14" s="472" t="e">
        <f t="shared" si="28"/>
        <v>#DIV/0!</v>
      </c>
      <c r="BK14" s="472"/>
      <c r="BL14" s="533" t="str">
        <f t="shared" si="6"/>
        <v>No Prog ni Ejec</v>
      </c>
      <c r="BM14" s="533" t="str">
        <f t="shared" si="7"/>
        <v>No Prog ni Ejec</v>
      </c>
      <c r="BN14" s="533" t="str">
        <f t="shared" si="8"/>
        <v>No Prog ni Ejec</v>
      </c>
      <c r="BO14" s="533" t="str">
        <f t="shared" si="9"/>
        <v>No Prog ni Ejec</v>
      </c>
      <c r="BP14" s="533" t="str">
        <f t="shared" si="29"/>
        <v>No Prog ni Ejec</v>
      </c>
      <c r="BQ14" s="533" t="str">
        <f t="shared" si="30"/>
        <v>No Prog ni Ejec</v>
      </c>
      <c r="BR14" s="533">
        <f t="shared" si="10"/>
        <v>0</v>
      </c>
      <c r="BS14" s="533" t="str">
        <f t="shared" si="11"/>
        <v>No Prog ni Ejec</v>
      </c>
      <c r="BT14" s="480">
        <f t="shared" si="14"/>
        <v>0</v>
      </c>
      <c r="BU14" s="481" t="str">
        <f>+U14</f>
        <v>Remitir informes trimestrales de los indicadores formulados y las acciones de mejoras</v>
      </c>
      <c r="BV14" s="482">
        <f t="shared" si="13"/>
        <v>0</v>
      </c>
      <c r="BW14" s="479"/>
      <c r="BX14" s="479"/>
      <c r="BY14" s="479"/>
      <c r="BZ14" s="479"/>
      <c r="CA14" s="479"/>
      <c r="CB14" s="479"/>
      <c r="CC14" s="479"/>
    </row>
    <row r="15" spans="1:82" s="428" customFormat="1" ht="51" x14ac:dyDescent="0.25">
      <c r="A15" s="468">
        <v>11300</v>
      </c>
      <c r="B15" s="469" t="s">
        <v>4</v>
      </c>
      <c r="C15" s="470" t="s">
        <v>160</v>
      </c>
      <c r="D15" s="469" t="s">
        <v>145</v>
      </c>
      <c r="E15" s="470" t="s">
        <v>161</v>
      </c>
      <c r="F15" s="469" t="s">
        <v>162</v>
      </c>
      <c r="G15" s="471" t="s">
        <v>123</v>
      </c>
      <c r="H15" s="472">
        <v>1</v>
      </c>
      <c r="I15" s="470" t="s">
        <v>295</v>
      </c>
      <c r="J15" s="469" t="s">
        <v>165</v>
      </c>
      <c r="K15" s="753">
        <v>74955308000</v>
      </c>
      <c r="L15" s="508">
        <v>1.7542864196212072E-3</v>
      </c>
      <c r="M15" s="469" t="s">
        <v>46</v>
      </c>
      <c r="N15" s="469" t="s">
        <v>68</v>
      </c>
      <c r="O15" s="469" t="s">
        <v>21</v>
      </c>
      <c r="P15" s="469" t="s">
        <v>36</v>
      </c>
      <c r="Q15" s="469" t="s">
        <v>213</v>
      </c>
      <c r="R15" s="469" t="s">
        <v>182</v>
      </c>
      <c r="S15" s="469" t="s">
        <v>99</v>
      </c>
      <c r="T15" s="474">
        <v>1</v>
      </c>
      <c r="U15" s="475" t="str">
        <f t="shared" si="15"/>
        <v>Transferencias Entidades de Administración Publica Central</v>
      </c>
      <c r="V15" s="753">
        <f>+K15</f>
        <v>74955308000</v>
      </c>
      <c r="W15" s="477" t="s">
        <v>116</v>
      </c>
      <c r="X15" s="472">
        <v>0.25</v>
      </c>
      <c r="Y15" s="484" t="str">
        <f t="shared" ref="Y15:Y76" si="33">+U15</f>
        <v>Transferencias Entidades de Administración Publica Central</v>
      </c>
      <c r="Z15" s="473">
        <f>+V15*0.25</f>
        <v>18738827000</v>
      </c>
      <c r="AA15" s="559">
        <f>+(AB15/Z15)*X15</f>
        <v>0.24536724522564832</v>
      </c>
      <c r="AB15" s="473">
        <v>18391577439</v>
      </c>
      <c r="AC15" s="478">
        <f t="shared" si="17"/>
        <v>0.98146898090259327</v>
      </c>
      <c r="AD15" s="478">
        <f t="shared" si="18"/>
        <v>0.98146898090259327</v>
      </c>
      <c r="AE15" s="478">
        <f t="shared" si="19"/>
        <v>0.24536724522564832</v>
      </c>
      <c r="AF15" s="478">
        <f t="shared" si="0"/>
        <v>0.24536724522564832</v>
      </c>
      <c r="AG15" s="483"/>
      <c r="AH15" s="631">
        <v>0.25</v>
      </c>
      <c r="AI15" s="484" t="str">
        <f t="shared" ref="AI15:AI78" si="34">+U15</f>
        <v>Transferencias Entidades de Administración Publica Central</v>
      </c>
      <c r="AJ15" s="635">
        <v>18738827000</v>
      </c>
      <c r="AK15" s="657">
        <f t="shared" ref="AK15:AK36" si="35">+(AL15/AJ15)*AH15</f>
        <v>0.24536724522564832</v>
      </c>
      <c r="AL15" s="616">
        <v>18391577439</v>
      </c>
      <c r="AM15" s="478">
        <f t="shared" si="20"/>
        <v>0.98146898090259327</v>
      </c>
      <c r="AN15" s="478">
        <f t="shared" si="1"/>
        <v>0.98146898090259327</v>
      </c>
      <c r="AO15" s="478">
        <f t="shared" si="2"/>
        <v>0.49073449045129663</v>
      </c>
      <c r="AP15" s="478">
        <f t="shared" si="3"/>
        <v>0.49073449045129663</v>
      </c>
      <c r="AQ15" s="632"/>
      <c r="AR15" s="631">
        <v>0.25</v>
      </c>
      <c r="AS15" s="484" t="str">
        <f t="shared" si="31"/>
        <v>Transferencias Entidades de Administración Publica Central</v>
      </c>
      <c r="AT15" s="635">
        <v>18738827000</v>
      </c>
      <c r="AU15" s="479"/>
      <c r="AV15" s="479"/>
      <c r="AW15" s="478">
        <f t="shared" si="21"/>
        <v>0</v>
      </c>
      <c r="AX15" s="478">
        <f t="shared" si="22"/>
        <v>0</v>
      </c>
      <c r="AY15" s="478">
        <f t="shared" si="23"/>
        <v>0.49073449045129663</v>
      </c>
      <c r="AZ15" s="478">
        <f t="shared" si="24"/>
        <v>0.49073449045129663</v>
      </c>
      <c r="BA15" s="478"/>
      <c r="BB15" s="631">
        <v>0.25</v>
      </c>
      <c r="BC15" s="484" t="str">
        <f t="shared" si="32"/>
        <v>Transferencias Entidades de Administración Publica Central</v>
      </c>
      <c r="BD15" s="635">
        <v>18738827000</v>
      </c>
      <c r="BE15" s="479"/>
      <c r="BF15" s="479"/>
      <c r="BG15" s="472">
        <f t="shared" si="25"/>
        <v>0</v>
      </c>
      <c r="BH15" s="472">
        <f t="shared" si="26"/>
        <v>0</v>
      </c>
      <c r="BI15" s="472">
        <f t="shared" si="27"/>
        <v>0.49073449045129663</v>
      </c>
      <c r="BJ15" s="472">
        <f t="shared" si="28"/>
        <v>0.49073449045129663</v>
      </c>
      <c r="BK15" s="472"/>
      <c r="BL15" s="533">
        <f t="shared" si="6"/>
        <v>0.98146898090259327</v>
      </c>
      <c r="BM15" s="533">
        <f t="shared" si="7"/>
        <v>0.98146898090259327</v>
      </c>
      <c r="BN15" s="533">
        <f t="shared" si="8"/>
        <v>0.98146898090259327</v>
      </c>
      <c r="BO15" s="533">
        <f t="shared" si="9"/>
        <v>0.98146898090259327</v>
      </c>
      <c r="BP15" s="533">
        <f t="shared" si="29"/>
        <v>0</v>
      </c>
      <c r="BQ15" s="533">
        <f t="shared" si="30"/>
        <v>0</v>
      </c>
      <c r="BR15" s="533">
        <f t="shared" si="10"/>
        <v>0</v>
      </c>
      <c r="BS15" s="533">
        <f t="shared" si="11"/>
        <v>0</v>
      </c>
      <c r="BT15" s="480">
        <f t="shared" si="14"/>
        <v>0.58333333333333337</v>
      </c>
      <c r="BU15" s="481" t="str">
        <f t="shared" ref="BU15:BU79" si="36">+U15</f>
        <v>Transferencias Entidades de Administración Publica Central</v>
      </c>
      <c r="BV15" s="482">
        <f t="shared" si="13"/>
        <v>43723929666.666664</v>
      </c>
      <c r="BW15" s="479"/>
      <c r="BX15" s="479"/>
      <c r="BY15" s="479"/>
      <c r="BZ15" s="479"/>
      <c r="CA15" s="479"/>
      <c r="CB15" s="479"/>
      <c r="CC15" s="479"/>
    </row>
    <row r="16" spans="1:82" s="428" customFormat="1" ht="63.75" x14ac:dyDescent="0.25">
      <c r="A16" s="468">
        <v>11300</v>
      </c>
      <c r="B16" s="469" t="s">
        <v>4</v>
      </c>
      <c r="C16" s="470" t="s">
        <v>160</v>
      </c>
      <c r="D16" s="469" t="s">
        <v>145</v>
      </c>
      <c r="E16" s="470" t="s">
        <v>161</v>
      </c>
      <c r="F16" s="469" t="s">
        <v>162</v>
      </c>
      <c r="G16" s="471" t="s">
        <v>123</v>
      </c>
      <c r="H16" s="472">
        <v>1</v>
      </c>
      <c r="I16" s="470" t="s">
        <v>296</v>
      </c>
      <c r="J16" s="469" t="s">
        <v>166</v>
      </c>
      <c r="K16" s="753">
        <v>122333530698</v>
      </c>
      <c r="L16" s="508">
        <v>2.0898994700771331E-3</v>
      </c>
      <c r="M16" s="469" t="s">
        <v>46</v>
      </c>
      <c r="N16" s="469" t="s">
        <v>68</v>
      </c>
      <c r="O16" s="469" t="s">
        <v>21</v>
      </c>
      <c r="P16" s="469" t="s">
        <v>36</v>
      </c>
      <c r="Q16" s="469" t="s">
        <v>213</v>
      </c>
      <c r="R16" s="469" t="s">
        <v>182</v>
      </c>
      <c r="S16" s="469" t="s">
        <v>99</v>
      </c>
      <c r="T16" s="474">
        <v>1</v>
      </c>
      <c r="U16" s="475" t="str">
        <f t="shared" si="15"/>
        <v>Empresas Publicas nacionales No Financieras - ADRES</v>
      </c>
      <c r="V16" s="753">
        <f t="shared" ref="V16:V36" si="37">+K16</f>
        <v>122333530698</v>
      </c>
      <c r="W16" s="477" t="s">
        <v>116</v>
      </c>
      <c r="X16" s="472">
        <v>0.25</v>
      </c>
      <c r="Y16" s="484" t="str">
        <f t="shared" si="33"/>
        <v>Empresas Publicas nacionales No Financieras - ADRES</v>
      </c>
      <c r="Z16" s="473">
        <v>22323757500</v>
      </c>
      <c r="AA16" s="559">
        <f>+(AB16/Z16)*X16</f>
        <v>0.17572054186308017</v>
      </c>
      <c r="AB16" s="473">
        <v>15690971057.280001</v>
      </c>
      <c r="AC16" s="478">
        <f t="shared" si="17"/>
        <v>0.70288216745232068</v>
      </c>
      <c r="AD16" s="478">
        <f t="shared" si="18"/>
        <v>0.70288216745232068</v>
      </c>
      <c r="AE16" s="478">
        <f t="shared" si="19"/>
        <v>0.17572054186308017</v>
      </c>
      <c r="AF16" s="478">
        <f t="shared" si="0"/>
        <v>0.12826386165552342</v>
      </c>
      <c r="AG16" s="483" t="s">
        <v>982</v>
      </c>
      <c r="AH16" s="631">
        <v>0.25</v>
      </c>
      <c r="AI16" s="484" t="str">
        <f t="shared" si="34"/>
        <v>Empresas Publicas nacionales No Financieras - ADRES</v>
      </c>
      <c r="AJ16" s="635">
        <v>22323757500</v>
      </c>
      <c r="AK16" s="657">
        <f t="shared" si="35"/>
        <v>0.17339561109952031</v>
      </c>
      <c r="AL16" s="616">
        <v>15483366295</v>
      </c>
      <c r="AM16" s="478">
        <f t="shared" si="20"/>
        <v>0.69358244439808125</v>
      </c>
      <c r="AN16" s="478">
        <f t="shared" si="1"/>
        <v>0.69358244439808125</v>
      </c>
      <c r="AO16" s="478">
        <f t="shared" si="2"/>
        <v>0.34911615296260046</v>
      </c>
      <c r="AP16" s="478">
        <f t="shared" si="3"/>
        <v>0.25483068439542439</v>
      </c>
      <c r="AQ16" s="632"/>
      <c r="AR16" s="631">
        <v>0.25</v>
      </c>
      <c r="AS16" s="484" t="str">
        <f t="shared" si="31"/>
        <v>Empresas Publicas nacionales No Financieras - ADRES</v>
      </c>
      <c r="AT16" s="635">
        <v>22323757500</v>
      </c>
      <c r="AU16" s="479"/>
      <c r="AV16" s="479"/>
      <c r="AW16" s="478">
        <f t="shared" si="21"/>
        <v>0</v>
      </c>
      <c r="AX16" s="478">
        <f t="shared" si="22"/>
        <v>0</v>
      </c>
      <c r="AY16" s="478">
        <f t="shared" si="23"/>
        <v>0.34911615296260046</v>
      </c>
      <c r="AZ16" s="478">
        <f t="shared" si="24"/>
        <v>0.25483068439542439</v>
      </c>
      <c r="BA16" s="478"/>
      <c r="BB16" s="631">
        <v>0.25</v>
      </c>
      <c r="BC16" s="484" t="str">
        <f t="shared" si="32"/>
        <v>Empresas Publicas nacionales No Financieras - ADRES</v>
      </c>
      <c r="BD16" s="635">
        <v>22323757500</v>
      </c>
      <c r="BE16" s="479"/>
      <c r="BF16" s="479"/>
      <c r="BG16" s="472">
        <f t="shared" si="25"/>
        <v>0</v>
      </c>
      <c r="BH16" s="472">
        <f t="shared" si="26"/>
        <v>0</v>
      </c>
      <c r="BI16" s="472">
        <f t="shared" si="27"/>
        <v>0.34911615296260046</v>
      </c>
      <c r="BJ16" s="472">
        <f t="shared" si="28"/>
        <v>0.25483068439542439</v>
      </c>
      <c r="BK16" s="472"/>
      <c r="BL16" s="533">
        <f t="shared" si="6"/>
        <v>0.70288216745232068</v>
      </c>
      <c r="BM16" s="533">
        <f t="shared" si="7"/>
        <v>0.70288216745232068</v>
      </c>
      <c r="BN16" s="533">
        <f t="shared" si="8"/>
        <v>0.69358244439808125</v>
      </c>
      <c r="BO16" s="533">
        <f t="shared" si="9"/>
        <v>0.69358244439808125</v>
      </c>
      <c r="BP16" s="533">
        <f t="shared" si="29"/>
        <v>0</v>
      </c>
      <c r="BQ16" s="533">
        <f t="shared" si="30"/>
        <v>0</v>
      </c>
      <c r="BR16" s="533">
        <f t="shared" si="10"/>
        <v>0</v>
      </c>
      <c r="BS16" s="533">
        <f t="shared" si="11"/>
        <v>0</v>
      </c>
      <c r="BT16" s="480">
        <f t="shared" si="14"/>
        <v>0.58333333333333337</v>
      </c>
      <c r="BU16" s="481" t="str">
        <f t="shared" si="36"/>
        <v>Empresas Publicas nacionales No Financieras - ADRES</v>
      </c>
      <c r="BV16" s="482">
        <f t="shared" si="13"/>
        <v>52088767500</v>
      </c>
      <c r="BW16" s="479"/>
      <c r="BX16" s="479"/>
      <c r="BY16" s="479"/>
      <c r="BZ16" s="479"/>
      <c r="CA16" s="479"/>
      <c r="CB16" s="479"/>
      <c r="CC16" s="479"/>
    </row>
    <row r="17" spans="1:81" s="428" customFormat="1" ht="51" x14ac:dyDescent="0.25">
      <c r="A17" s="468">
        <v>11300</v>
      </c>
      <c r="B17" s="469" t="s">
        <v>4</v>
      </c>
      <c r="C17" s="470" t="s">
        <v>160</v>
      </c>
      <c r="D17" s="469" t="s">
        <v>145</v>
      </c>
      <c r="E17" s="470" t="s">
        <v>161</v>
      </c>
      <c r="F17" s="469" t="s">
        <v>162</v>
      </c>
      <c r="G17" s="471" t="s">
        <v>123</v>
      </c>
      <c r="H17" s="472">
        <v>1</v>
      </c>
      <c r="I17" s="470" t="s">
        <v>297</v>
      </c>
      <c r="J17" s="469" t="s">
        <v>167</v>
      </c>
      <c r="K17" s="696">
        <v>6000000000</v>
      </c>
      <c r="L17" s="508">
        <v>7.0213296420096381E-5</v>
      </c>
      <c r="M17" s="469" t="s">
        <v>46</v>
      </c>
      <c r="N17" s="469" t="s">
        <v>68</v>
      </c>
      <c r="O17" s="469" t="s">
        <v>21</v>
      </c>
      <c r="P17" s="469" t="s">
        <v>36</v>
      </c>
      <c r="Q17" s="469" t="s">
        <v>213</v>
      </c>
      <c r="R17" s="469" t="s">
        <v>182</v>
      </c>
      <c r="S17" s="469" t="s">
        <v>99</v>
      </c>
      <c r="T17" s="474">
        <v>1</v>
      </c>
      <c r="U17" s="475" t="str">
        <f t="shared" si="15"/>
        <v>Sentencias y Conciliaciones URA</v>
      </c>
      <c r="V17" s="753">
        <f t="shared" si="37"/>
        <v>6000000000</v>
      </c>
      <c r="W17" s="477" t="s">
        <v>116</v>
      </c>
      <c r="X17" s="472">
        <v>0.25</v>
      </c>
      <c r="Y17" s="484" t="str">
        <f t="shared" si="33"/>
        <v>Sentencias y Conciliaciones URA</v>
      </c>
      <c r="Z17" s="473">
        <v>750000000</v>
      </c>
      <c r="AA17" s="559">
        <f>+(AB17/Z17)*X17</f>
        <v>0.48054275674666669</v>
      </c>
      <c r="AB17" s="473">
        <v>1441628270.24</v>
      </c>
      <c r="AC17" s="478">
        <f t="shared" si="17"/>
        <v>1.9221710269866668</v>
      </c>
      <c r="AD17" s="478">
        <f t="shared" si="18"/>
        <v>1.9221710269866668</v>
      </c>
      <c r="AE17" s="478">
        <f t="shared" si="19"/>
        <v>0.48054275674666669</v>
      </c>
      <c r="AF17" s="478">
        <f t="shared" si="0"/>
        <v>0.24027137837333334</v>
      </c>
      <c r="AG17" s="483"/>
      <c r="AH17" s="699">
        <f>+AJ17/V17</f>
        <v>0.29166666666666669</v>
      </c>
      <c r="AI17" s="484" t="str">
        <f t="shared" si="34"/>
        <v>Sentencias y Conciliaciones URA</v>
      </c>
      <c r="AJ17" s="696">
        <f>(V17-Z17)/3</f>
        <v>1750000000</v>
      </c>
      <c r="AK17" s="657">
        <f t="shared" si="35"/>
        <v>0.16864007183833335</v>
      </c>
      <c r="AL17" s="616">
        <v>1011840431.03</v>
      </c>
      <c r="AM17" s="478">
        <f t="shared" si="20"/>
        <v>0.57819453201714288</v>
      </c>
      <c r="AN17" s="478">
        <f t="shared" si="1"/>
        <v>0.57819453201714288</v>
      </c>
      <c r="AO17" s="478">
        <f t="shared" si="2"/>
        <v>0.64918282858500009</v>
      </c>
      <c r="AP17" s="478">
        <f t="shared" si="3"/>
        <v>0.40891145021166664</v>
      </c>
      <c r="AQ17" s="636" t="s">
        <v>1093</v>
      </c>
      <c r="AR17" s="699">
        <f>+AT17/V17</f>
        <v>0.29166666666666669</v>
      </c>
      <c r="AS17" s="484" t="str">
        <f t="shared" si="31"/>
        <v>Sentencias y Conciliaciones URA</v>
      </c>
      <c r="AT17" s="696">
        <f>(V17-Z17)/3</f>
        <v>1750000000</v>
      </c>
      <c r="AU17" s="479"/>
      <c r="AV17" s="479"/>
      <c r="AW17" s="478">
        <f t="shared" si="21"/>
        <v>0</v>
      </c>
      <c r="AX17" s="478">
        <f t="shared" si="22"/>
        <v>0</v>
      </c>
      <c r="AY17" s="478">
        <f t="shared" si="23"/>
        <v>0.64918282858500009</v>
      </c>
      <c r="AZ17" s="478">
        <f t="shared" si="24"/>
        <v>0.40891145021166664</v>
      </c>
      <c r="BA17" s="478"/>
      <c r="BB17" s="699">
        <f>+BD17/V17</f>
        <v>0.29166666666666669</v>
      </c>
      <c r="BC17" s="484" t="str">
        <f t="shared" si="32"/>
        <v>Sentencias y Conciliaciones URA</v>
      </c>
      <c r="BD17" s="696">
        <f>(V17-Z17)/3</f>
        <v>1750000000</v>
      </c>
      <c r="BE17" s="479"/>
      <c r="BF17" s="479"/>
      <c r="BG17" s="472">
        <f t="shared" si="25"/>
        <v>0</v>
      </c>
      <c r="BH17" s="472">
        <f t="shared" si="26"/>
        <v>0</v>
      </c>
      <c r="BI17" s="472">
        <f t="shared" si="27"/>
        <v>0.64918282858500009</v>
      </c>
      <c r="BJ17" s="472">
        <f t="shared" si="28"/>
        <v>0.40891145021166664</v>
      </c>
      <c r="BK17" s="472"/>
      <c r="BL17" s="533">
        <f t="shared" si="6"/>
        <v>1.9221710269866668</v>
      </c>
      <c r="BM17" s="533">
        <f t="shared" si="7"/>
        <v>1.9221710269866668</v>
      </c>
      <c r="BN17" s="533">
        <f t="shared" si="8"/>
        <v>0.57819453201714288</v>
      </c>
      <c r="BO17" s="533">
        <f t="shared" si="9"/>
        <v>0.57819453201714288</v>
      </c>
      <c r="BP17" s="533">
        <f t="shared" si="29"/>
        <v>0</v>
      </c>
      <c r="BQ17" s="533">
        <f t="shared" si="30"/>
        <v>0</v>
      </c>
      <c r="BR17" s="533">
        <f t="shared" si="10"/>
        <v>0</v>
      </c>
      <c r="BS17" s="533">
        <f t="shared" si="11"/>
        <v>0</v>
      </c>
      <c r="BT17" s="480">
        <f t="shared" si="14"/>
        <v>0.63888888888888895</v>
      </c>
      <c r="BU17" s="481" t="str">
        <f t="shared" si="36"/>
        <v>Sentencias y Conciliaciones URA</v>
      </c>
      <c r="BV17" s="482">
        <f t="shared" si="13"/>
        <v>3083333333.3333335</v>
      </c>
      <c r="BW17" s="479"/>
      <c r="BX17" s="479"/>
      <c r="BY17" s="479"/>
      <c r="BZ17" s="479"/>
      <c r="CA17" s="479"/>
      <c r="CB17" s="479"/>
      <c r="CC17" s="479"/>
    </row>
    <row r="18" spans="1:81" s="428" customFormat="1" ht="51" x14ac:dyDescent="0.25">
      <c r="A18" s="468">
        <v>11300</v>
      </c>
      <c r="B18" s="469" t="s">
        <v>4</v>
      </c>
      <c r="C18" s="470" t="s">
        <v>160</v>
      </c>
      <c r="D18" s="469" t="s">
        <v>145</v>
      </c>
      <c r="E18" s="470" t="s">
        <v>161</v>
      </c>
      <c r="F18" s="469" t="s">
        <v>162</v>
      </c>
      <c r="G18" s="471" t="s">
        <v>123</v>
      </c>
      <c r="H18" s="472">
        <v>1</v>
      </c>
      <c r="I18" s="470" t="s">
        <v>298</v>
      </c>
      <c r="J18" s="469" t="s">
        <v>163</v>
      </c>
      <c r="K18" s="696">
        <v>11897430272837</v>
      </c>
      <c r="L18" s="508">
        <v>0.28123295664530629</v>
      </c>
      <c r="M18" s="469" t="s">
        <v>46</v>
      </c>
      <c r="N18" s="469" t="s">
        <v>68</v>
      </c>
      <c r="O18" s="469" t="s">
        <v>21</v>
      </c>
      <c r="P18" s="469" t="s">
        <v>36</v>
      </c>
      <c r="Q18" s="469" t="s">
        <v>213</v>
      </c>
      <c r="R18" s="469" t="s">
        <v>182</v>
      </c>
      <c r="S18" s="469" t="s">
        <v>99</v>
      </c>
      <c r="T18" s="474">
        <v>1</v>
      </c>
      <c r="U18" s="475" t="str">
        <f t="shared" si="15"/>
        <v>Financiación UPC Régimen Contributivo SSF</v>
      </c>
      <c r="V18" s="753">
        <f t="shared" si="37"/>
        <v>11897430272837</v>
      </c>
      <c r="W18" s="477" t="s">
        <v>116</v>
      </c>
      <c r="X18" s="472">
        <v>0.25</v>
      </c>
      <c r="Y18" s="484" t="str">
        <f t="shared" si="33"/>
        <v>Financiación UPC Régimen Contributivo SSF</v>
      </c>
      <c r="Z18" s="473">
        <v>3004056613750</v>
      </c>
      <c r="AA18" s="559">
        <f>+(AB18/Z18)*X18</f>
        <v>0.21990997899772854</v>
      </c>
      <c r="AB18" s="473">
        <v>2642488107351</v>
      </c>
      <c r="AC18" s="478">
        <f t="shared" si="17"/>
        <v>0.87963991599091418</v>
      </c>
      <c r="AD18" s="478">
        <f t="shared" si="18"/>
        <v>0.87963991599091418</v>
      </c>
      <c r="AE18" s="478">
        <f t="shared" si="19"/>
        <v>0.21990997899772854</v>
      </c>
      <c r="AF18" s="478">
        <f t="shared" si="0"/>
        <v>0.22210578643894718</v>
      </c>
      <c r="AG18" s="483"/>
      <c r="AH18" s="631">
        <f>+AJ18/V18</f>
        <v>0.24916791427897514</v>
      </c>
      <c r="AI18" s="484" t="str">
        <f t="shared" si="34"/>
        <v>Financiación UPC Régimen Contributivo SSF</v>
      </c>
      <c r="AJ18" s="696">
        <f>(V18-Z18)/3</f>
        <v>2964457886362.3335</v>
      </c>
      <c r="AK18" s="657">
        <f t="shared" si="35"/>
        <v>0.24918862736247427</v>
      </c>
      <c r="AL18" s="616">
        <v>2964704318829</v>
      </c>
      <c r="AM18" s="478">
        <f t="shared" si="20"/>
        <v>1.0000831290158649</v>
      </c>
      <c r="AN18" s="478">
        <f t="shared" si="1"/>
        <v>1.0000831290158649</v>
      </c>
      <c r="AO18" s="478">
        <f t="shared" si="2"/>
        <v>0.46909860636020284</v>
      </c>
      <c r="AP18" s="478">
        <f t="shared" si="3"/>
        <v>0.47129441380142151</v>
      </c>
      <c r="AQ18" s="636" t="s">
        <v>1091</v>
      </c>
      <c r="AR18" s="631">
        <v>0.25</v>
      </c>
      <c r="AS18" s="484" t="str">
        <f t="shared" si="31"/>
        <v>Financiación UPC Régimen Contributivo SSF</v>
      </c>
      <c r="AT18" s="696">
        <f>(V18-Z18)/3</f>
        <v>2964457886362.3335</v>
      </c>
      <c r="AU18" s="479"/>
      <c r="AV18" s="479"/>
      <c r="AW18" s="478">
        <f t="shared" si="21"/>
        <v>0</v>
      </c>
      <c r="AX18" s="478">
        <f t="shared" si="22"/>
        <v>0</v>
      </c>
      <c r="AY18" s="478">
        <f t="shared" si="23"/>
        <v>0.46909860636020284</v>
      </c>
      <c r="AZ18" s="478">
        <f t="shared" si="24"/>
        <v>0.47129441380142151</v>
      </c>
      <c r="BA18" s="478"/>
      <c r="BB18" s="631">
        <v>0.25</v>
      </c>
      <c r="BC18" s="484" t="str">
        <f t="shared" si="32"/>
        <v>Financiación UPC Régimen Contributivo SSF</v>
      </c>
      <c r="BD18" s="696">
        <f>(V18-Z18)/3</f>
        <v>2964457886362.3335</v>
      </c>
      <c r="BE18" s="479"/>
      <c r="BF18" s="479"/>
      <c r="BG18" s="472">
        <f t="shared" si="25"/>
        <v>0</v>
      </c>
      <c r="BH18" s="472">
        <f t="shared" si="26"/>
        <v>0</v>
      </c>
      <c r="BI18" s="472">
        <f t="shared" si="27"/>
        <v>0.46909860636020284</v>
      </c>
      <c r="BJ18" s="472">
        <f t="shared" si="28"/>
        <v>0.47129441380142151</v>
      </c>
      <c r="BK18" s="472"/>
      <c r="BL18" s="533">
        <f t="shared" si="6"/>
        <v>0.87963991599091418</v>
      </c>
      <c r="BM18" s="533">
        <f t="shared" si="7"/>
        <v>0.87963991599091418</v>
      </c>
      <c r="BN18" s="533">
        <f t="shared" si="8"/>
        <v>1.0000831290158649</v>
      </c>
      <c r="BO18" s="533">
        <f t="shared" si="9"/>
        <v>1.0000831290158649</v>
      </c>
      <c r="BP18" s="533">
        <f t="shared" si="29"/>
        <v>0</v>
      </c>
      <c r="BQ18" s="533">
        <f t="shared" si="30"/>
        <v>0</v>
      </c>
      <c r="BR18" s="533">
        <f t="shared" si="10"/>
        <v>0</v>
      </c>
      <c r="BS18" s="533">
        <f t="shared" si="11"/>
        <v>0</v>
      </c>
      <c r="BT18" s="480">
        <f t="shared" si="14"/>
        <v>0.58250124761230848</v>
      </c>
      <c r="BU18" s="481" t="str">
        <f t="shared" si="36"/>
        <v>Financiación UPC Régimen Contributivo SSF</v>
      </c>
      <c r="BV18" s="482">
        <f t="shared" si="13"/>
        <v>6956667128899.7783</v>
      </c>
      <c r="BW18" s="479"/>
      <c r="BX18" s="479"/>
      <c r="BY18" s="479"/>
      <c r="BZ18" s="479"/>
      <c r="CA18" s="479"/>
      <c r="CB18" s="479"/>
      <c r="CC18" s="479"/>
    </row>
    <row r="19" spans="1:81" s="428" customFormat="1" ht="63.75" x14ac:dyDescent="0.25">
      <c r="A19" s="468">
        <v>11300</v>
      </c>
      <c r="B19" s="469" t="s">
        <v>4</v>
      </c>
      <c r="C19" s="470" t="s">
        <v>160</v>
      </c>
      <c r="D19" s="469" t="s">
        <v>145</v>
      </c>
      <c r="E19" s="470" t="s">
        <v>161</v>
      </c>
      <c r="F19" s="469" t="s">
        <v>162</v>
      </c>
      <c r="G19" s="471" t="s">
        <v>123</v>
      </c>
      <c r="H19" s="472">
        <v>1</v>
      </c>
      <c r="I19" s="470" t="s">
        <v>299</v>
      </c>
      <c r="J19" s="469" t="s">
        <v>164</v>
      </c>
      <c r="K19" s="696">
        <v>8134554371500</v>
      </c>
      <c r="L19" s="508">
        <v>0.2116420563955087</v>
      </c>
      <c r="M19" s="469" t="s">
        <v>46</v>
      </c>
      <c r="N19" s="469" t="s">
        <v>68</v>
      </c>
      <c r="O19" s="469" t="s">
        <v>21</v>
      </c>
      <c r="P19" s="469" t="s">
        <v>36</v>
      </c>
      <c r="Q19" s="469" t="s">
        <v>213</v>
      </c>
      <c r="R19" s="469" t="s">
        <v>182</v>
      </c>
      <c r="S19" s="469" t="s">
        <v>99</v>
      </c>
      <c r="T19" s="474">
        <v>1</v>
      </c>
      <c r="U19" s="475" t="str">
        <f t="shared" si="15"/>
        <v>Financiación UPC Régimen Contributivo CSF</v>
      </c>
      <c r="V19" s="753">
        <f t="shared" si="37"/>
        <v>8134554371500</v>
      </c>
      <c r="W19" s="477" t="s">
        <v>116</v>
      </c>
      <c r="X19" s="472">
        <v>0.25</v>
      </c>
      <c r="Y19" s="484" t="str">
        <f t="shared" si="33"/>
        <v>Financiación UPC Régimen Contributivo CSF</v>
      </c>
      <c r="Z19" s="473">
        <v>2260704886250</v>
      </c>
      <c r="AA19" s="559">
        <f t="shared" ref="AA19:AA35" si="38">+(AB19/Z19)*X19</f>
        <v>0.25406609209837994</v>
      </c>
      <c r="AB19" s="473">
        <v>2297473823349</v>
      </c>
      <c r="AC19" s="478">
        <f t="shared" si="17"/>
        <v>1.0162643683935197</v>
      </c>
      <c r="AD19" s="478">
        <f t="shared" si="18"/>
        <v>1.0162643683935197</v>
      </c>
      <c r="AE19" s="478">
        <f t="shared" si="19"/>
        <v>0.25406609209837994</v>
      </c>
      <c r="AF19" s="478">
        <f t="shared" si="0"/>
        <v>0.28243388862189744</v>
      </c>
      <c r="AG19" s="483" t="s">
        <v>982</v>
      </c>
      <c r="AH19" s="699">
        <f>+AJ19/V19</f>
        <v>0.29551227405844133</v>
      </c>
      <c r="AI19" s="484" t="str">
        <f t="shared" si="34"/>
        <v>Financiación UPC Régimen Contributivo CSF</v>
      </c>
      <c r="AJ19" s="696">
        <v>2403860660774</v>
      </c>
      <c r="AK19" s="657">
        <f t="shared" si="35"/>
        <v>0.29551227405844133</v>
      </c>
      <c r="AL19" s="616">
        <v>2403860660774</v>
      </c>
      <c r="AM19" s="478">
        <f t="shared" si="20"/>
        <v>1</v>
      </c>
      <c r="AN19" s="478">
        <f t="shared" si="1"/>
        <v>1</v>
      </c>
      <c r="AO19" s="478">
        <f t="shared" si="2"/>
        <v>0.54957836615682121</v>
      </c>
      <c r="AP19" s="478">
        <f t="shared" si="3"/>
        <v>0.57794616268033883</v>
      </c>
      <c r="AQ19" s="636" t="s">
        <v>1092</v>
      </c>
      <c r="AR19" s="699">
        <f>+AT19/K19</f>
        <v>0.21328696484182078</v>
      </c>
      <c r="AS19" s="484" t="str">
        <f t="shared" si="31"/>
        <v>Financiación UPC Régimen Contributivo CSF</v>
      </c>
      <c r="AT19" s="696">
        <v>1734994412238</v>
      </c>
      <c r="AU19" s="479"/>
      <c r="AV19" s="479"/>
      <c r="AW19" s="478">
        <f t="shared" si="21"/>
        <v>0</v>
      </c>
      <c r="AX19" s="478">
        <f t="shared" si="22"/>
        <v>0</v>
      </c>
      <c r="AY19" s="478">
        <f t="shared" si="23"/>
        <v>0.54957836615682121</v>
      </c>
      <c r="AZ19" s="478">
        <f t="shared" si="24"/>
        <v>0.57794616268033883</v>
      </c>
      <c r="BA19" s="478"/>
      <c r="BB19" s="699">
        <f>+BD19/V19</f>
        <v>0.21328696484182078</v>
      </c>
      <c r="BC19" s="484" t="str">
        <f t="shared" si="32"/>
        <v>Financiación UPC Régimen Contributivo CSF</v>
      </c>
      <c r="BD19" s="696">
        <v>1734994412238</v>
      </c>
      <c r="BE19" s="479"/>
      <c r="BF19" s="479"/>
      <c r="BG19" s="472">
        <f t="shared" si="25"/>
        <v>0</v>
      </c>
      <c r="BH19" s="472">
        <f t="shared" si="26"/>
        <v>0</v>
      </c>
      <c r="BI19" s="472">
        <f t="shared" si="27"/>
        <v>0.54957836615682121</v>
      </c>
      <c r="BJ19" s="472">
        <f t="shared" si="28"/>
        <v>0.57794616268033883</v>
      </c>
      <c r="BK19" s="472"/>
      <c r="BL19" s="533">
        <f t="shared" si="6"/>
        <v>1.0162643683935197</v>
      </c>
      <c r="BM19" s="533">
        <f t="shared" si="7"/>
        <v>1.0162643683935197</v>
      </c>
      <c r="BN19" s="533">
        <f t="shared" si="8"/>
        <v>1</v>
      </c>
      <c r="BO19" s="533">
        <f t="shared" si="9"/>
        <v>1</v>
      </c>
      <c r="BP19" s="533">
        <f t="shared" si="29"/>
        <v>0</v>
      </c>
      <c r="BQ19" s="533">
        <f t="shared" si="30"/>
        <v>0</v>
      </c>
      <c r="BR19" s="533">
        <f t="shared" si="10"/>
        <v>0</v>
      </c>
      <c r="BS19" s="533">
        <f t="shared" si="11"/>
        <v>0</v>
      </c>
      <c r="BT19" s="480">
        <f t="shared" si="14"/>
        <v>0.61660792900571482</v>
      </c>
      <c r="BU19" s="481" t="str">
        <f t="shared" si="36"/>
        <v>Financiación UPC Régimen Contributivo CSF</v>
      </c>
      <c r="BV19" s="482">
        <f t="shared" si="13"/>
        <v>5242897017770</v>
      </c>
      <c r="BW19" s="479"/>
      <c r="BX19" s="479"/>
      <c r="BY19" s="479"/>
      <c r="BZ19" s="479"/>
      <c r="CA19" s="479"/>
      <c r="CB19" s="479"/>
      <c r="CC19" s="479"/>
    </row>
    <row r="20" spans="1:81" s="428" customFormat="1" ht="51" x14ac:dyDescent="0.25">
      <c r="A20" s="468">
        <v>11300</v>
      </c>
      <c r="B20" s="469" t="s">
        <v>4</v>
      </c>
      <c r="C20" s="470" t="s">
        <v>160</v>
      </c>
      <c r="D20" s="469" t="s">
        <v>145</v>
      </c>
      <c r="E20" s="470" t="s">
        <v>161</v>
      </c>
      <c r="F20" s="469" t="s">
        <v>162</v>
      </c>
      <c r="G20" s="471" t="s">
        <v>123</v>
      </c>
      <c r="H20" s="472">
        <v>1</v>
      </c>
      <c r="I20" s="470" t="s">
        <v>300</v>
      </c>
      <c r="J20" s="469" t="s">
        <v>173</v>
      </c>
      <c r="K20" s="696">
        <v>76616232219</v>
      </c>
      <c r="L20" s="508">
        <v>1.8723545712025702E-3</v>
      </c>
      <c r="M20" s="469" t="s">
        <v>46</v>
      </c>
      <c r="N20" s="469" t="s">
        <v>68</v>
      </c>
      <c r="O20" s="469" t="s">
        <v>21</v>
      </c>
      <c r="P20" s="469" t="s">
        <v>36</v>
      </c>
      <c r="Q20" s="469" t="s">
        <v>213</v>
      </c>
      <c r="R20" s="469" t="s">
        <v>182</v>
      </c>
      <c r="S20" s="469" t="s">
        <v>99</v>
      </c>
      <c r="T20" s="474">
        <v>1</v>
      </c>
      <c r="U20" s="475" t="str">
        <f t="shared" si="15"/>
        <v>Devolución de Aportes y Cotizaciones no conciliadas de vigencias anteriores</v>
      </c>
      <c r="V20" s="753">
        <f t="shared" si="37"/>
        <v>76616232219</v>
      </c>
      <c r="W20" s="477" t="s">
        <v>116</v>
      </c>
      <c r="X20" s="472">
        <v>0.25</v>
      </c>
      <c r="Y20" s="484" t="str">
        <f t="shared" si="33"/>
        <v>Devolución de Aportes y Cotizaciones no conciliadas de vigencias anteriores</v>
      </c>
      <c r="Z20" s="473">
        <v>20000000000</v>
      </c>
      <c r="AA20" s="559">
        <f>+(AB20/Z20)*X20</f>
        <v>1.2711216975E-2</v>
      </c>
      <c r="AB20" s="473">
        <v>1016897358</v>
      </c>
      <c r="AC20" s="478">
        <f t="shared" si="17"/>
        <v>5.08448679E-2</v>
      </c>
      <c r="AD20" s="478">
        <f t="shared" si="18"/>
        <v>5.08448679E-2</v>
      </c>
      <c r="AE20" s="478">
        <f t="shared" si="19"/>
        <v>1.2711216975E-2</v>
      </c>
      <c r="AF20" s="478">
        <f t="shared" si="0"/>
        <v>1.3272609844520916E-2</v>
      </c>
      <c r="AG20" s="483"/>
      <c r="AH20" s="699">
        <f>+AJ20/V20</f>
        <v>0.26104128878110266</v>
      </c>
      <c r="AI20" s="484" t="str">
        <f t="shared" si="34"/>
        <v>Devolución de Aportes y Cotizaciones no conciliadas de vigencias anteriores</v>
      </c>
      <c r="AJ20" s="696">
        <v>20000000000</v>
      </c>
      <c r="AK20" s="657">
        <f t="shared" si="35"/>
        <v>1.1022026997962731E-2</v>
      </c>
      <c r="AL20" s="616">
        <v>844466180</v>
      </c>
      <c r="AM20" s="478">
        <f t="shared" si="20"/>
        <v>4.2223309000000001E-2</v>
      </c>
      <c r="AN20" s="478">
        <f t="shared" si="1"/>
        <v>4.2223309000000001E-2</v>
      </c>
      <c r="AO20" s="478">
        <f t="shared" si="2"/>
        <v>2.3733243972962732E-2</v>
      </c>
      <c r="AP20" s="478">
        <f t="shared" si="3"/>
        <v>2.4294636842483647E-2</v>
      </c>
      <c r="AQ20" s="636" t="s">
        <v>1091</v>
      </c>
      <c r="AR20" s="699">
        <f>+AT20/V20</f>
        <v>0.23895871122542339</v>
      </c>
      <c r="AS20" s="484" t="str">
        <f t="shared" si="31"/>
        <v>Devolución de Aportes y Cotizaciones no conciliadas de vigencias anteriores</v>
      </c>
      <c r="AT20" s="696">
        <v>18308116110</v>
      </c>
      <c r="AU20" s="479"/>
      <c r="AV20" s="479"/>
      <c r="AW20" s="478">
        <f t="shared" si="21"/>
        <v>0</v>
      </c>
      <c r="AX20" s="478">
        <f t="shared" si="22"/>
        <v>0</v>
      </c>
      <c r="AY20" s="478">
        <f t="shared" si="23"/>
        <v>2.3733243972962732E-2</v>
      </c>
      <c r="AZ20" s="478">
        <f t="shared" si="24"/>
        <v>2.4294636842483647E-2</v>
      </c>
      <c r="BA20" s="478"/>
      <c r="BB20" s="699">
        <f>+BD20/V20</f>
        <v>0.23895871122542339</v>
      </c>
      <c r="BC20" s="484" t="str">
        <f t="shared" si="32"/>
        <v>Devolución de Aportes y Cotizaciones no conciliadas de vigencias anteriores</v>
      </c>
      <c r="BD20" s="696">
        <v>18308116110</v>
      </c>
      <c r="BE20" s="479"/>
      <c r="BF20" s="479"/>
      <c r="BG20" s="472">
        <f t="shared" si="25"/>
        <v>0</v>
      </c>
      <c r="BH20" s="472">
        <f t="shared" si="26"/>
        <v>0</v>
      </c>
      <c r="BI20" s="472">
        <f t="shared" si="27"/>
        <v>2.3733243972962732E-2</v>
      </c>
      <c r="BJ20" s="472">
        <f t="shared" si="28"/>
        <v>2.4294636842483647E-2</v>
      </c>
      <c r="BK20" s="472"/>
      <c r="BL20" s="533">
        <f t="shared" si="6"/>
        <v>5.08448679E-2</v>
      </c>
      <c r="BM20" s="533">
        <f t="shared" si="7"/>
        <v>5.08448679E-2</v>
      </c>
      <c r="BN20" s="533">
        <f t="shared" si="8"/>
        <v>4.2223309000000001E-2</v>
      </c>
      <c r="BO20" s="533">
        <f t="shared" si="9"/>
        <v>4.2223309000000001E-2</v>
      </c>
      <c r="BP20" s="533">
        <f t="shared" si="29"/>
        <v>0</v>
      </c>
      <c r="BQ20" s="533">
        <f t="shared" si="30"/>
        <v>0</v>
      </c>
      <c r="BR20" s="533">
        <f t="shared" si="10"/>
        <v>0</v>
      </c>
      <c r="BS20" s="533">
        <f t="shared" si="11"/>
        <v>0</v>
      </c>
      <c r="BT20" s="480">
        <f t="shared" si="14"/>
        <v>0.59069419252291044</v>
      </c>
      <c r="BU20" s="481" t="str">
        <f t="shared" si="36"/>
        <v>Devolución de Aportes y Cotizaciones no conciliadas de vigencias anteriores</v>
      </c>
      <c r="BV20" s="482">
        <f t="shared" si="13"/>
        <v>46102705370</v>
      </c>
      <c r="BW20" s="479"/>
      <c r="BX20" s="479"/>
      <c r="BY20" s="479"/>
      <c r="BZ20" s="479"/>
      <c r="CA20" s="479"/>
      <c r="CB20" s="479"/>
      <c r="CC20" s="479"/>
    </row>
    <row r="21" spans="1:81" s="428" customFormat="1" ht="51" x14ac:dyDescent="0.25">
      <c r="A21" s="468">
        <v>11300</v>
      </c>
      <c r="B21" s="469" t="s">
        <v>4</v>
      </c>
      <c r="C21" s="470" t="s">
        <v>160</v>
      </c>
      <c r="D21" s="469" t="s">
        <v>145</v>
      </c>
      <c r="E21" s="470" t="s">
        <v>161</v>
      </c>
      <c r="F21" s="469" t="s">
        <v>162</v>
      </c>
      <c r="G21" s="471" t="s">
        <v>123</v>
      </c>
      <c r="H21" s="472">
        <v>1</v>
      </c>
      <c r="I21" s="470" t="s">
        <v>301</v>
      </c>
      <c r="J21" s="469" t="s">
        <v>174</v>
      </c>
      <c r="K21" s="753">
        <v>7000000000</v>
      </c>
      <c r="L21" s="508">
        <v>1.6383102498022489E-4</v>
      </c>
      <c r="M21" s="469" t="s">
        <v>46</v>
      </c>
      <c r="N21" s="469" t="s">
        <v>68</v>
      </c>
      <c r="O21" s="469" t="s">
        <v>21</v>
      </c>
      <c r="P21" s="469" t="s">
        <v>36</v>
      </c>
      <c r="Q21" s="469" t="s">
        <v>213</v>
      </c>
      <c r="R21" s="469" t="s">
        <v>182</v>
      </c>
      <c r="S21" s="469" t="s">
        <v>99</v>
      </c>
      <c r="T21" s="474">
        <v>1</v>
      </c>
      <c r="U21" s="475" t="str">
        <f t="shared" si="15"/>
        <v>Rendimientos Financieros saldo de Aportes Patronales no compensados - Art, 12 Decreto 1363 de 2016</v>
      </c>
      <c r="V21" s="753">
        <f t="shared" si="37"/>
        <v>7000000000</v>
      </c>
      <c r="W21" s="477" t="s">
        <v>116</v>
      </c>
      <c r="X21" s="472">
        <v>0.25</v>
      </c>
      <c r="Y21" s="484" t="str">
        <f t="shared" si="33"/>
        <v>Rendimientos Financieros saldo de Aportes Patronales no compensados - Art, 12 Decreto 1363 de 2016</v>
      </c>
      <c r="Z21" s="473">
        <v>1750000000</v>
      </c>
      <c r="AA21" s="559">
        <f t="shared" si="38"/>
        <v>0</v>
      </c>
      <c r="AB21" s="473">
        <v>0</v>
      </c>
      <c r="AC21" s="478">
        <f t="shared" si="17"/>
        <v>0</v>
      </c>
      <c r="AD21" s="478">
        <f t="shared" si="18"/>
        <v>0</v>
      </c>
      <c r="AE21" s="478">
        <f t="shared" si="19"/>
        <v>0</v>
      </c>
      <c r="AF21" s="478">
        <f t="shared" si="0"/>
        <v>0</v>
      </c>
      <c r="AG21" s="483"/>
      <c r="AH21" s="631">
        <v>0.25</v>
      </c>
      <c r="AI21" s="484" t="str">
        <f t="shared" si="34"/>
        <v>Rendimientos Financieros saldo de Aportes Patronales no compensados - Art, 12 Decreto 1363 de 2016</v>
      </c>
      <c r="AJ21" s="635">
        <v>1750000000</v>
      </c>
      <c r="AK21" s="657">
        <f t="shared" si="35"/>
        <v>0</v>
      </c>
      <c r="AL21" s="616">
        <v>0</v>
      </c>
      <c r="AM21" s="478">
        <f t="shared" si="20"/>
        <v>0</v>
      </c>
      <c r="AN21" s="478">
        <f t="shared" si="1"/>
        <v>0</v>
      </c>
      <c r="AO21" s="478">
        <f t="shared" si="2"/>
        <v>0</v>
      </c>
      <c r="AP21" s="478">
        <f t="shared" si="3"/>
        <v>0</v>
      </c>
      <c r="AQ21" s="632"/>
      <c r="AR21" s="631">
        <v>0.25</v>
      </c>
      <c r="AS21" s="484" t="str">
        <f t="shared" si="31"/>
        <v>Rendimientos Financieros saldo de Aportes Patronales no compensados - Art, 12 Decreto 1363 de 2016</v>
      </c>
      <c r="AT21" s="635">
        <v>1750000000</v>
      </c>
      <c r="AU21" s="479"/>
      <c r="AV21" s="479"/>
      <c r="AW21" s="478">
        <f t="shared" si="21"/>
        <v>0</v>
      </c>
      <c r="AX21" s="478">
        <f t="shared" si="22"/>
        <v>0</v>
      </c>
      <c r="AY21" s="478">
        <f t="shared" si="23"/>
        <v>0</v>
      </c>
      <c r="AZ21" s="478">
        <f t="shared" si="24"/>
        <v>0</v>
      </c>
      <c r="BA21" s="478"/>
      <c r="BB21" s="631">
        <v>0.25</v>
      </c>
      <c r="BC21" s="484" t="str">
        <f t="shared" si="32"/>
        <v>Rendimientos Financieros saldo de Aportes Patronales no compensados - Art, 12 Decreto 1363 de 2016</v>
      </c>
      <c r="BD21" s="635">
        <v>1750000000</v>
      </c>
      <c r="BE21" s="479"/>
      <c r="BF21" s="479"/>
      <c r="BG21" s="472">
        <f t="shared" si="25"/>
        <v>0</v>
      </c>
      <c r="BH21" s="472">
        <f t="shared" si="26"/>
        <v>0</v>
      </c>
      <c r="BI21" s="472">
        <f t="shared" si="27"/>
        <v>0</v>
      </c>
      <c r="BJ21" s="472">
        <f t="shared" si="28"/>
        <v>0</v>
      </c>
      <c r="BK21" s="472"/>
      <c r="BL21" s="533">
        <f t="shared" si="6"/>
        <v>0</v>
      </c>
      <c r="BM21" s="533">
        <f t="shared" si="7"/>
        <v>0</v>
      </c>
      <c r="BN21" s="533">
        <f t="shared" si="8"/>
        <v>0</v>
      </c>
      <c r="BO21" s="533">
        <f t="shared" si="9"/>
        <v>0</v>
      </c>
      <c r="BP21" s="533">
        <f t="shared" si="29"/>
        <v>0</v>
      </c>
      <c r="BQ21" s="533">
        <f t="shared" si="30"/>
        <v>0</v>
      </c>
      <c r="BR21" s="533">
        <f t="shared" si="10"/>
        <v>0</v>
      </c>
      <c r="BS21" s="533">
        <f t="shared" si="11"/>
        <v>0</v>
      </c>
      <c r="BT21" s="480">
        <f t="shared" si="14"/>
        <v>0.58333333333333337</v>
      </c>
      <c r="BU21" s="481" t="str">
        <f t="shared" si="36"/>
        <v>Rendimientos Financieros saldo de Aportes Patronales no compensados - Art, 12 Decreto 1363 de 2016</v>
      </c>
      <c r="BV21" s="482">
        <f t="shared" si="13"/>
        <v>4083333333.3333335</v>
      </c>
      <c r="BW21" s="479"/>
      <c r="BX21" s="479"/>
      <c r="BY21" s="479"/>
      <c r="BZ21" s="479"/>
      <c r="CA21" s="479"/>
      <c r="CB21" s="479"/>
      <c r="CC21" s="479"/>
    </row>
    <row r="22" spans="1:81" s="428" customFormat="1" ht="51" x14ac:dyDescent="0.25">
      <c r="A22" s="468">
        <v>11300</v>
      </c>
      <c r="B22" s="469" t="s">
        <v>4</v>
      </c>
      <c r="C22" s="470" t="s">
        <v>160</v>
      </c>
      <c r="D22" s="469" t="s">
        <v>145</v>
      </c>
      <c r="E22" s="470" t="s">
        <v>161</v>
      </c>
      <c r="F22" s="469" t="s">
        <v>162</v>
      </c>
      <c r="G22" s="471" t="s">
        <v>123</v>
      </c>
      <c r="H22" s="472">
        <v>1</v>
      </c>
      <c r="I22" s="470" t="s">
        <v>302</v>
      </c>
      <c r="J22" s="469" t="s">
        <v>757</v>
      </c>
      <c r="K22" s="753">
        <v>483767006000</v>
      </c>
      <c r="L22" s="508">
        <v>1.1322292063513515E-2</v>
      </c>
      <c r="M22" s="469" t="s">
        <v>46</v>
      </c>
      <c r="N22" s="469" t="s">
        <v>68</v>
      </c>
      <c r="O22" s="469" t="s">
        <v>21</v>
      </c>
      <c r="P22" s="469" t="s">
        <v>36</v>
      </c>
      <c r="Q22" s="469" t="s">
        <v>213</v>
      </c>
      <c r="R22" s="469" t="s">
        <v>182</v>
      </c>
      <c r="S22" s="469" t="s">
        <v>99</v>
      </c>
      <c r="T22" s="474">
        <v>1</v>
      </c>
      <c r="U22" s="475" t="str">
        <f t="shared" si="15"/>
        <v>Per cápita Programas de Promoción y Prevención</v>
      </c>
      <c r="V22" s="753">
        <f t="shared" si="37"/>
        <v>483767006000</v>
      </c>
      <c r="W22" s="477" t="s">
        <v>116</v>
      </c>
      <c r="X22" s="472">
        <v>0.25</v>
      </c>
      <c r="Y22" s="484" t="str">
        <f t="shared" si="33"/>
        <v>Per cápita Programas de Promoción y Prevención</v>
      </c>
      <c r="Z22" s="473">
        <v>120941751500</v>
      </c>
      <c r="AA22" s="559">
        <f t="shared" si="38"/>
        <v>0.24380171399700623</v>
      </c>
      <c r="AB22" s="473">
        <v>117943225238</v>
      </c>
      <c r="AC22" s="478">
        <f t="shared" si="17"/>
        <v>0.97520685598802492</v>
      </c>
      <c r="AD22" s="478">
        <f t="shared" si="18"/>
        <v>0.97520685598802492</v>
      </c>
      <c r="AE22" s="478">
        <f t="shared" si="19"/>
        <v>0.24380171399700623</v>
      </c>
      <c r="AF22" s="478">
        <f t="shared" si="0"/>
        <v>0.24380171399700623</v>
      </c>
      <c r="AG22" s="483"/>
      <c r="AH22" s="631">
        <v>0.25</v>
      </c>
      <c r="AI22" s="484" t="str">
        <f t="shared" si="34"/>
        <v>Per cápita Programas de Promoción y Prevención</v>
      </c>
      <c r="AJ22" s="635">
        <v>120941751500</v>
      </c>
      <c r="AK22" s="657">
        <f t="shared" si="35"/>
        <v>0.26836580200552163</v>
      </c>
      <c r="AL22" s="616">
        <v>129826520549</v>
      </c>
      <c r="AM22" s="478">
        <f t="shared" si="20"/>
        <v>1.0734632080220865</v>
      </c>
      <c r="AN22" s="478">
        <f t="shared" si="1"/>
        <v>1.0734632080220865</v>
      </c>
      <c r="AO22" s="478">
        <f t="shared" si="2"/>
        <v>0.51216751600252786</v>
      </c>
      <c r="AP22" s="478">
        <f t="shared" si="3"/>
        <v>0.51216751600252786</v>
      </c>
      <c r="AQ22" s="632"/>
      <c r="AR22" s="631">
        <v>0.25</v>
      </c>
      <c r="AS22" s="484" t="str">
        <f t="shared" si="31"/>
        <v>Per cápita Programas de Promoción y Prevención</v>
      </c>
      <c r="AT22" s="635">
        <v>120941751500</v>
      </c>
      <c r="AU22" s="479"/>
      <c r="AV22" s="479"/>
      <c r="AW22" s="478">
        <f t="shared" si="21"/>
        <v>0</v>
      </c>
      <c r="AX22" s="478">
        <f t="shared" si="22"/>
        <v>0</v>
      </c>
      <c r="AY22" s="478">
        <f t="shared" si="23"/>
        <v>0.51216751600252786</v>
      </c>
      <c r="AZ22" s="478">
        <f t="shared" si="24"/>
        <v>0.51216751600252786</v>
      </c>
      <c r="BA22" s="478"/>
      <c r="BB22" s="631">
        <v>0.25</v>
      </c>
      <c r="BC22" s="484" t="str">
        <f t="shared" si="32"/>
        <v>Per cápita Programas de Promoción y Prevención</v>
      </c>
      <c r="BD22" s="635">
        <v>120941751500</v>
      </c>
      <c r="BE22" s="479"/>
      <c r="BF22" s="479"/>
      <c r="BG22" s="472">
        <f t="shared" si="25"/>
        <v>0</v>
      </c>
      <c r="BH22" s="472">
        <f t="shared" si="26"/>
        <v>0</v>
      </c>
      <c r="BI22" s="472">
        <f t="shared" si="27"/>
        <v>0.51216751600252786</v>
      </c>
      <c r="BJ22" s="472">
        <f t="shared" si="28"/>
        <v>0.51216751600252786</v>
      </c>
      <c r="BK22" s="472"/>
      <c r="BL22" s="533">
        <f t="shared" si="6"/>
        <v>0.97520685598802492</v>
      </c>
      <c r="BM22" s="533">
        <f t="shared" si="7"/>
        <v>0.97520685598802492</v>
      </c>
      <c r="BN22" s="533">
        <f t="shared" si="8"/>
        <v>1.0734632080220865</v>
      </c>
      <c r="BO22" s="533">
        <f t="shared" si="9"/>
        <v>1.0734632080220865</v>
      </c>
      <c r="BP22" s="533">
        <f t="shared" si="29"/>
        <v>0</v>
      </c>
      <c r="BQ22" s="533">
        <f t="shared" si="30"/>
        <v>0</v>
      </c>
      <c r="BR22" s="533">
        <f t="shared" si="10"/>
        <v>0</v>
      </c>
      <c r="BS22" s="533">
        <f t="shared" si="11"/>
        <v>0</v>
      </c>
      <c r="BT22" s="480">
        <f t="shared" si="14"/>
        <v>0.58333333333333337</v>
      </c>
      <c r="BU22" s="481" t="str">
        <f t="shared" si="36"/>
        <v>Per cápita Programas de Promoción y Prevención</v>
      </c>
      <c r="BV22" s="482">
        <f t="shared" si="13"/>
        <v>282197420166.66669</v>
      </c>
      <c r="BW22" s="479"/>
      <c r="BX22" s="479"/>
      <c r="BY22" s="479"/>
      <c r="BZ22" s="479"/>
      <c r="CA22" s="479"/>
      <c r="CB22" s="479"/>
      <c r="CC22" s="479"/>
    </row>
    <row r="23" spans="1:81" s="428" customFormat="1" ht="51" x14ac:dyDescent="0.25">
      <c r="A23" s="468">
        <v>11300</v>
      </c>
      <c r="B23" s="469" t="s">
        <v>4</v>
      </c>
      <c r="C23" s="470" t="s">
        <v>160</v>
      </c>
      <c r="D23" s="469" t="s">
        <v>145</v>
      </c>
      <c r="E23" s="470" t="s">
        <v>161</v>
      </c>
      <c r="F23" s="469" t="s">
        <v>162</v>
      </c>
      <c r="G23" s="471" t="s">
        <v>123</v>
      </c>
      <c r="H23" s="472">
        <v>1</v>
      </c>
      <c r="I23" s="470" t="s">
        <v>303</v>
      </c>
      <c r="J23" s="469" t="s">
        <v>168</v>
      </c>
      <c r="K23" s="696">
        <v>918476359163</v>
      </c>
      <c r="L23" s="508">
        <v>1.8716060436325382E-2</v>
      </c>
      <c r="M23" s="469" t="s">
        <v>46</v>
      </c>
      <c r="N23" s="469" t="s">
        <v>68</v>
      </c>
      <c r="O23" s="469" t="s">
        <v>21</v>
      </c>
      <c r="P23" s="469" t="s">
        <v>36</v>
      </c>
      <c r="Q23" s="469" t="s">
        <v>213</v>
      </c>
      <c r="R23" s="469" t="s">
        <v>182</v>
      </c>
      <c r="S23" s="469" t="s">
        <v>99</v>
      </c>
      <c r="T23" s="474">
        <v>1</v>
      </c>
      <c r="U23" s="475" t="str">
        <f t="shared" si="15"/>
        <v>Incapacidades</v>
      </c>
      <c r="V23" s="753">
        <f t="shared" si="37"/>
        <v>918476359163</v>
      </c>
      <c r="W23" s="477" t="s">
        <v>116</v>
      </c>
      <c r="X23" s="472">
        <v>0.25</v>
      </c>
      <c r="Y23" s="484" t="str">
        <f t="shared" si="33"/>
        <v>Incapacidades</v>
      </c>
      <c r="Z23" s="473">
        <v>199920044250</v>
      </c>
      <c r="AA23" s="559">
        <f t="shared" si="38"/>
        <v>0.25892237729684275</v>
      </c>
      <c r="AB23" s="473">
        <v>207055092506</v>
      </c>
      <c r="AC23" s="478">
        <f t="shared" si="17"/>
        <v>1.035689509187371</v>
      </c>
      <c r="AD23" s="478">
        <f t="shared" si="18"/>
        <v>1.035689509187371</v>
      </c>
      <c r="AE23" s="478">
        <f t="shared" si="19"/>
        <v>0.25892237729684275</v>
      </c>
      <c r="AF23" s="478">
        <f t="shared" si="0"/>
        <v>0.22543323019733205</v>
      </c>
      <c r="AG23" s="483"/>
      <c r="AH23" s="699">
        <f>+AJ23/V23</f>
        <v>0.26077837414992167</v>
      </c>
      <c r="AI23" s="484" t="str">
        <f t="shared" si="34"/>
        <v>Incapacidades</v>
      </c>
      <c r="AJ23" s="696">
        <f>(V23-Z23)/3</f>
        <v>239518771637.66666</v>
      </c>
      <c r="AK23" s="657">
        <f t="shared" si="35"/>
        <v>0.23628186254871916</v>
      </c>
      <c r="AL23" s="616">
        <v>217019304850</v>
      </c>
      <c r="AM23" s="478">
        <f t="shared" si="20"/>
        <v>0.90606386867371358</v>
      </c>
      <c r="AN23" s="478">
        <f t="shared" si="1"/>
        <v>0.90606386867371358</v>
      </c>
      <c r="AO23" s="478">
        <f t="shared" si="2"/>
        <v>0.49520423984556194</v>
      </c>
      <c r="AP23" s="478">
        <f t="shared" si="3"/>
        <v>0.46171509274605121</v>
      </c>
      <c r="AQ23" s="636" t="s">
        <v>1091</v>
      </c>
      <c r="AR23" s="699">
        <f>+AT23/V23</f>
        <v>0.26077837414992167</v>
      </c>
      <c r="AS23" s="484" t="str">
        <f t="shared" si="31"/>
        <v>Incapacidades</v>
      </c>
      <c r="AT23" s="696">
        <f>(V23-Z23)/3</f>
        <v>239518771637.66666</v>
      </c>
      <c r="AU23" s="479"/>
      <c r="AV23" s="479"/>
      <c r="AW23" s="478">
        <f t="shared" si="21"/>
        <v>0</v>
      </c>
      <c r="AX23" s="478">
        <f t="shared" si="22"/>
        <v>0</v>
      </c>
      <c r="AY23" s="478">
        <f t="shared" si="23"/>
        <v>0.49520423984556194</v>
      </c>
      <c r="AZ23" s="478">
        <f t="shared" si="24"/>
        <v>0.46171509274605121</v>
      </c>
      <c r="BA23" s="478"/>
      <c r="BB23" s="699">
        <f>+BD23/V23</f>
        <v>0.26077837414992167</v>
      </c>
      <c r="BC23" s="484" t="str">
        <f t="shared" si="32"/>
        <v>Incapacidades</v>
      </c>
      <c r="BD23" s="696">
        <f>(V23-Z23)/3</f>
        <v>239518771637.66666</v>
      </c>
      <c r="BE23" s="479"/>
      <c r="BF23" s="479"/>
      <c r="BG23" s="472">
        <f t="shared" si="25"/>
        <v>0</v>
      </c>
      <c r="BH23" s="472">
        <f t="shared" si="26"/>
        <v>0</v>
      </c>
      <c r="BI23" s="472">
        <f t="shared" si="27"/>
        <v>0.49520423984556194</v>
      </c>
      <c r="BJ23" s="472">
        <f t="shared" si="28"/>
        <v>0.46171509274605121</v>
      </c>
      <c r="BK23" s="472"/>
      <c r="BL23" s="533">
        <f t="shared" si="6"/>
        <v>1.035689509187371</v>
      </c>
      <c r="BM23" s="533">
        <f t="shared" si="7"/>
        <v>1.035689509187371</v>
      </c>
      <c r="BN23" s="533">
        <f t="shared" si="8"/>
        <v>0.90606386867371358</v>
      </c>
      <c r="BO23" s="533">
        <f t="shared" si="9"/>
        <v>0.90606386867371358</v>
      </c>
      <c r="BP23" s="533">
        <f t="shared" si="29"/>
        <v>0</v>
      </c>
      <c r="BQ23" s="533">
        <f t="shared" si="30"/>
        <v>0</v>
      </c>
      <c r="BR23" s="533">
        <f t="shared" si="10"/>
        <v>0</v>
      </c>
      <c r="BS23" s="533">
        <f t="shared" si="11"/>
        <v>0</v>
      </c>
      <c r="BT23" s="480">
        <f t="shared" si="14"/>
        <v>0.59770449886656218</v>
      </c>
      <c r="BU23" s="481" t="str">
        <f t="shared" si="36"/>
        <v>Incapacidades</v>
      </c>
      <c r="BV23" s="482">
        <f t="shared" si="13"/>
        <v>519278406433.55554</v>
      </c>
      <c r="BW23" s="479"/>
      <c r="BX23" s="479"/>
      <c r="BY23" s="479"/>
      <c r="BZ23" s="479"/>
      <c r="CA23" s="479"/>
      <c r="CB23" s="479"/>
      <c r="CC23" s="479"/>
    </row>
    <row r="24" spans="1:81" s="428" customFormat="1" ht="51" x14ac:dyDescent="0.25">
      <c r="A24" s="468">
        <v>11300</v>
      </c>
      <c r="B24" s="469" t="s">
        <v>4</v>
      </c>
      <c r="C24" s="470" t="s">
        <v>160</v>
      </c>
      <c r="D24" s="469" t="s">
        <v>145</v>
      </c>
      <c r="E24" s="470" t="s">
        <v>161</v>
      </c>
      <c r="F24" s="469" t="s">
        <v>162</v>
      </c>
      <c r="G24" s="471" t="s">
        <v>123</v>
      </c>
      <c r="H24" s="472">
        <v>1</v>
      </c>
      <c r="I24" s="470" t="s">
        <v>304</v>
      </c>
      <c r="J24" s="469" t="s">
        <v>169</v>
      </c>
      <c r="K24" s="753">
        <v>720776535000</v>
      </c>
      <c r="L24" s="508">
        <v>1.6869365501534991E-2</v>
      </c>
      <c r="M24" s="469" t="s">
        <v>46</v>
      </c>
      <c r="N24" s="469" t="s">
        <v>68</v>
      </c>
      <c r="O24" s="469" t="s">
        <v>21</v>
      </c>
      <c r="P24" s="469" t="s">
        <v>36</v>
      </c>
      <c r="Q24" s="469" t="s">
        <v>213</v>
      </c>
      <c r="R24" s="469" t="s">
        <v>182</v>
      </c>
      <c r="S24" s="469" t="s">
        <v>99</v>
      </c>
      <c r="T24" s="474">
        <v>1</v>
      </c>
      <c r="U24" s="475" t="str">
        <f t="shared" si="15"/>
        <v>Licencias de Maternidad y Paternidad</v>
      </c>
      <c r="V24" s="753">
        <f t="shared" si="37"/>
        <v>720776535000</v>
      </c>
      <c r="W24" s="477" t="s">
        <v>116</v>
      </c>
      <c r="X24" s="472">
        <v>0.25</v>
      </c>
      <c r="Y24" s="484" t="str">
        <f t="shared" si="33"/>
        <v>Licencias de Maternidad y Paternidad</v>
      </c>
      <c r="Z24" s="473">
        <v>180194133750</v>
      </c>
      <c r="AA24" s="559">
        <f t="shared" si="38"/>
        <v>0.25045429000543146</v>
      </c>
      <c r="AB24" s="473">
        <v>180521575326</v>
      </c>
      <c r="AC24" s="478">
        <f t="shared" si="17"/>
        <v>1.0018171600217258</v>
      </c>
      <c r="AD24" s="478">
        <f t="shared" si="18"/>
        <v>1.0018171600217258</v>
      </c>
      <c r="AE24" s="478">
        <f t="shared" si="19"/>
        <v>0.25045429000543146</v>
      </c>
      <c r="AF24" s="478">
        <f t="shared" si="0"/>
        <v>0.25045429000543146</v>
      </c>
      <c r="AG24" s="483"/>
      <c r="AH24" s="631">
        <v>0.25</v>
      </c>
      <c r="AI24" s="484" t="str">
        <f t="shared" si="34"/>
        <v>Licencias de Maternidad y Paternidad</v>
      </c>
      <c r="AJ24" s="635">
        <v>180194133750</v>
      </c>
      <c r="AK24" s="657">
        <f t="shared" si="35"/>
        <v>0.29107446829134082</v>
      </c>
      <c r="AL24" s="616">
        <v>209799646682</v>
      </c>
      <c r="AM24" s="478">
        <f t="shared" si="20"/>
        <v>1.1642978731653633</v>
      </c>
      <c r="AN24" s="478">
        <f t="shared" si="1"/>
        <v>1.1642978731653633</v>
      </c>
      <c r="AO24" s="478">
        <f t="shared" si="2"/>
        <v>0.54152875829677227</v>
      </c>
      <c r="AP24" s="478">
        <f t="shared" si="3"/>
        <v>0.54152875829677227</v>
      </c>
      <c r="AQ24" s="632"/>
      <c r="AR24" s="631">
        <v>0.25</v>
      </c>
      <c r="AS24" s="484" t="str">
        <f t="shared" si="31"/>
        <v>Licencias de Maternidad y Paternidad</v>
      </c>
      <c r="AT24" s="635">
        <v>180194133750</v>
      </c>
      <c r="AU24" s="479"/>
      <c r="AV24" s="479"/>
      <c r="AW24" s="478">
        <f t="shared" si="21"/>
        <v>0</v>
      </c>
      <c r="AX24" s="478">
        <f t="shared" si="22"/>
        <v>0</v>
      </c>
      <c r="AY24" s="478">
        <f t="shared" si="23"/>
        <v>0.54152875829677227</v>
      </c>
      <c r="AZ24" s="478">
        <f t="shared" si="24"/>
        <v>0.54152875829677227</v>
      </c>
      <c r="BA24" s="478"/>
      <c r="BB24" s="631">
        <v>0.25</v>
      </c>
      <c r="BC24" s="484" t="str">
        <f t="shared" si="32"/>
        <v>Licencias de Maternidad y Paternidad</v>
      </c>
      <c r="BD24" s="635">
        <v>180194133750</v>
      </c>
      <c r="BE24" s="479"/>
      <c r="BF24" s="479"/>
      <c r="BG24" s="472">
        <f t="shared" si="25"/>
        <v>0</v>
      </c>
      <c r="BH24" s="472">
        <f t="shared" si="26"/>
        <v>0</v>
      </c>
      <c r="BI24" s="472">
        <f t="shared" si="27"/>
        <v>0.54152875829677227</v>
      </c>
      <c r="BJ24" s="472">
        <f t="shared" si="28"/>
        <v>0.54152875829677227</v>
      </c>
      <c r="BK24" s="472"/>
      <c r="BL24" s="533">
        <f t="shared" si="6"/>
        <v>1.0018171600217258</v>
      </c>
      <c r="BM24" s="533">
        <f t="shared" si="7"/>
        <v>1.0018171600217258</v>
      </c>
      <c r="BN24" s="533">
        <f t="shared" si="8"/>
        <v>1.1642978731653633</v>
      </c>
      <c r="BO24" s="533">
        <f t="shared" si="9"/>
        <v>1.1642978731653633</v>
      </c>
      <c r="BP24" s="533">
        <f t="shared" si="29"/>
        <v>0</v>
      </c>
      <c r="BQ24" s="533">
        <f t="shared" si="30"/>
        <v>0</v>
      </c>
      <c r="BR24" s="533">
        <f t="shared" si="10"/>
        <v>0</v>
      </c>
      <c r="BS24" s="533">
        <f t="shared" si="11"/>
        <v>0</v>
      </c>
      <c r="BT24" s="480">
        <f t="shared" si="14"/>
        <v>0.58333333333333337</v>
      </c>
      <c r="BU24" s="481" t="str">
        <f t="shared" si="36"/>
        <v>Licencias de Maternidad y Paternidad</v>
      </c>
      <c r="BV24" s="482">
        <f t="shared" si="13"/>
        <v>420452978750</v>
      </c>
      <c r="BW24" s="479"/>
      <c r="BX24" s="479"/>
      <c r="BY24" s="479"/>
      <c r="BZ24" s="479"/>
      <c r="CA24" s="479"/>
      <c r="CB24" s="479"/>
      <c r="CC24" s="479"/>
    </row>
    <row r="25" spans="1:81" s="428" customFormat="1" ht="51" x14ac:dyDescent="0.25">
      <c r="A25" s="468">
        <v>11300</v>
      </c>
      <c r="B25" s="469" t="s">
        <v>4</v>
      </c>
      <c r="C25" s="470" t="s">
        <v>160</v>
      </c>
      <c r="D25" s="469" t="s">
        <v>145</v>
      </c>
      <c r="E25" s="470" t="s">
        <v>161</v>
      </c>
      <c r="F25" s="469" t="s">
        <v>162</v>
      </c>
      <c r="G25" s="471" t="s">
        <v>123</v>
      </c>
      <c r="H25" s="472">
        <v>1</v>
      </c>
      <c r="I25" s="470" t="s">
        <v>305</v>
      </c>
      <c r="J25" s="469" t="s">
        <v>561</v>
      </c>
      <c r="K25" s="696">
        <v>3500000000</v>
      </c>
      <c r="L25" s="508">
        <v>3.5106648210048191E-5</v>
      </c>
      <c r="M25" s="469" t="s">
        <v>46</v>
      </c>
      <c r="N25" s="469" t="s">
        <v>68</v>
      </c>
      <c r="O25" s="469" t="s">
        <v>21</v>
      </c>
      <c r="P25" s="469" t="s">
        <v>36</v>
      </c>
      <c r="Q25" s="469" t="s">
        <v>213</v>
      </c>
      <c r="R25" s="469" t="s">
        <v>182</v>
      </c>
      <c r="S25" s="469" t="s">
        <v>99</v>
      </c>
      <c r="T25" s="474">
        <v>1</v>
      </c>
      <c r="U25" s="475" t="str">
        <f t="shared" si="15"/>
        <v>Prestaciones Económicas Regímenes Especiales de Excepción</v>
      </c>
      <c r="V25" s="753">
        <f t="shared" si="37"/>
        <v>3500000000</v>
      </c>
      <c r="W25" s="477" t="s">
        <v>116</v>
      </c>
      <c r="X25" s="472">
        <v>0.25</v>
      </c>
      <c r="Y25" s="484" t="str">
        <f t="shared" si="33"/>
        <v>Prestaciones Económicas Regímenes Especiales de Excepción</v>
      </c>
      <c r="Z25" s="473">
        <v>375000000</v>
      </c>
      <c r="AA25" s="559">
        <f t="shared" si="38"/>
        <v>0.42038601666666664</v>
      </c>
      <c r="AB25" s="473">
        <v>630579025</v>
      </c>
      <c r="AC25" s="478">
        <f t="shared" si="17"/>
        <v>1.6815440666666666</v>
      </c>
      <c r="AD25" s="478">
        <f t="shared" si="18"/>
        <v>1.6815440666666666</v>
      </c>
      <c r="AE25" s="478">
        <f t="shared" si="19"/>
        <v>0.42038601666666664</v>
      </c>
      <c r="AF25" s="478">
        <f t="shared" si="0"/>
        <v>0.18016543571428573</v>
      </c>
      <c r="AG25" s="483"/>
      <c r="AH25" s="699">
        <f>+AJ25/V25</f>
        <v>0.29761904761904762</v>
      </c>
      <c r="AI25" s="484" t="str">
        <f t="shared" si="34"/>
        <v>Prestaciones Económicas Regímenes Especiales de Excepción</v>
      </c>
      <c r="AJ25" s="696">
        <f>(V25-Z25)/3</f>
        <v>1041666666.6666666</v>
      </c>
      <c r="AK25" s="657">
        <f>+(AL25/AJ25)*AH25</f>
        <v>0.17462711485714286</v>
      </c>
      <c r="AL25" s="616">
        <v>611194902</v>
      </c>
      <c r="AM25" s="478">
        <f t="shared" si="20"/>
        <v>0.58674710592000001</v>
      </c>
      <c r="AN25" s="478">
        <f t="shared" si="1"/>
        <v>0.58674710592000001</v>
      </c>
      <c r="AO25" s="478">
        <f t="shared" si="2"/>
        <v>0.59501313152380952</v>
      </c>
      <c r="AP25" s="478">
        <f t="shared" si="3"/>
        <v>0.35479255057142856</v>
      </c>
      <c r="AQ25" s="636" t="s">
        <v>1155</v>
      </c>
      <c r="AR25" s="699">
        <f>+AT25/V25</f>
        <v>0.29761904761904762</v>
      </c>
      <c r="AS25" s="484" t="str">
        <f t="shared" si="31"/>
        <v>Prestaciones Económicas Regímenes Especiales de Excepción</v>
      </c>
      <c r="AT25" s="696">
        <f>(V25-Z25)/3</f>
        <v>1041666666.6666666</v>
      </c>
      <c r="AU25" s="479"/>
      <c r="AV25" s="479"/>
      <c r="AW25" s="478">
        <f t="shared" si="21"/>
        <v>0</v>
      </c>
      <c r="AX25" s="478">
        <f t="shared" si="22"/>
        <v>0</v>
      </c>
      <c r="AY25" s="478">
        <f t="shared" si="23"/>
        <v>0.59501313152380952</v>
      </c>
      <c r="AZ25" s="478">
        <f t="shared" si="24"/>
        <v>0.35479255057142856</v>
      </c>
      <c r="BA25" s="478"/>
      <c r="BB25" s="699">
        <f>+BD25/V25</f>
        <v>0.29761904761904762</v>
      </c>
      <c r="BC25" s="484" t="str">
        <f t="shared" si="32"/>
        <v>Prestaciones Económicas Regímenes Especiales de Excepción</v>
      </c>
      <c r="BD25" s="696">
        <f>(V25-Z25)/3</f>
        <v>1041666666.6666666</v>
      </c>
      <c r="BE25" s="479"/>
      <c r="BF25" s="479"/>
      <c r="BG25" s="472">
        <f t="shared" si="25"/>
        <v>0</v>
      </c>
      <c r="BH25" s="472">
        <f t="shared" si="26"/>
        <v>0</v>
      </c>
      <c r="BI25" s="472">
        <f t="shared" si="27"/>
        <v>0.59501313152380952</v>
      </c>
      <c r="BJ25" s="472">
        <f t="shared" si="28"/>
        <v>0.35479255057142856</v>
      </c>
      <c r="BK25" s="472"/>
      <c r="BL25" s="533">
        <f t="shared" si="6"/>
        <v>1.6815440666666666</v>
      </c>
      <c r="BM25" s="533">
        <f t="shared" si="7"/>
        <v>1.6815440666666666</v>
      </c>
      <c r="BN25" s="533">
        <f t="shared" si="8"/>
        <v>0.58674710592000001</v>
      </c>
      <c r="BO25" s="533">
        <f t="shared" si="9"/>
        <v>0.58674710592000001</v>
      </c>
      <c r="BP25" s="533">
        <f t="shared" si="29"/>
        <v>0</v>
      </c>
      <c r="BQ25" s="533">
        <f t="shared" si="30"/>
        <v>0</v>
      </c>
      <c r="BR25" s="533">
        <f t="shared" si="10"/>
        <v>0</v>
      </c>
      <c r="BS25" s="533">
        <f t="shared" si="11"/>
        <v>0</v>
      </c>
      <c r="BT25" s="480">
        <f t="shared" si="14"/>
        <v>0.64682539682539686</v>
      </c>
      <c r="BU25" s="481" t="str">
        <f t="shared" si="36"/>
        <v>Prestaciones Económicas Regímenes Especiales de Excepción</v>
      </c>
      <c r="BV25" s="482">
        <f t="shared" si="13"/>
        <v>1763888888.8888888</v>
      </c>
      <c r="BW25" s="479"/>
      <c r="BX25" s="479"/>
      <c r="BY25" s="479"/>
      <c r="BZ25" s="479"/>
      <c r="CA25" s="479"/>
      <c r="CB25" s="479"/>
      <c r="CC25" s="479"/>
    </row>
    <row r="26" spans="1:81" s="428" customFormat="1" ht="63.75" x14ac:dyDescent="0.25">
      <c r="A26" s="468">
        <v>11300</v>
      </c>
      <c r="B26" s="469" t="s">
        <v>4</v>
      </c>
      <c r="C26" s="470" t="s">
        <v>160</v>
      </c>
      <c r="D26" s="469" t="s">
        <v>145</v>
      </c>
      <c r="E26" s="470" t="s">
        <v>161</v>
      </c>
      <c r="F26" s="469" t="s">
        <v>162</v>
      </c>
      <c r="G26" s="471" t="s">
        <v>123</v>
      </c>
      <c r="H26" s="472">
        <v>1</v>
      </c>
      <c r="I26" s="470" t="s">
        <v>306</v>
      </c>
      <c r="J26" s="469" t="s">
        <v>170</v>
      </c>
      <c r="K26" s="753">
        <v>18295649030802</v>
      </c>
      <c r="L26" s="508">
        <v>0.43795196233665762</v>
      </c>
      <c r="M26" s="469" t="s">
        <v>46</v>
      </c>
      <c r="N26" s="469" t="s">
        <v>68</v>
      </c>
      <c r="O26" s="469" t="s">
        <v>21</v>
      </c>
      <c r="P26" s="469" t="s">
        <v>36</v>
      </c>
      <c r="Q26" s="469" t="s">
        <v>213</v>
      </c>
      <c r="R26" s="469" t="s">
        <v>182</v>
      </c>
      <c r="S26" s="469" t="s">
        <v>99</v>
      </c>
      <c r="T26" s="474">
        <v>1</v>
      </c>
      <c r="U26" s="475" t="str">
        <f t="shared" si="15"/>
        <v>Financiación UPC Régimen Subsidiado CSF</v>
      </c>
      <c r="V26" s="753">
        <f t="shared" si="37"/>
        <v>18295649030802</v>
      </c>
      <c r="W26" s="477" t="s">
        <v>116</v>
      </c>
      <c r="X26" s="472">
        <v>0.25</v>
      </c>
      <c r="Y26" s="484" t="str">
        <f t="shared" si="33"/>
        <v>Financiación UPC Régimen Subsidiado CSF</v>
      </c>
      <c r="Z26" s="473">
        <v>4678087890750</v>
      </c>
      <c r="AA26" s="559">
        <f t="shared" si="38"/>
        <v>0.24873164869078085</v>
      </c>
      <c r="AB26" s="473">
        <v>4654354055146.5</v>
      </c>
      <c r="AC26" s="478">
        <f t="shared" si="17"/>
        <v>0.9949265947631234</v>
      </c>
      <c r="AD26" s="478">
        <f t="shared" si="18"/>
        <v>0.9949265947631234</v>
      </c>
      <c r="AE26" s="478">
        <f t="shared" si="19"/>
        <v>0.24873164869078085</v>
      </c>
      <c r="AF26" s="478">
        <f t="shared" si="0"/>
        <v>0.25439677200358241</v>
      </c>
      <c r="AG26" s="483" t="s">
        <v>982</v>
      </c>
      <c r="AH26" s="631">
        <v>0.25</v>
      </c>
      <c r="AI26" s="484" t="str">
        <f t="shared" si="34"/>
        <v>Financiación UPC Régimen Subsidiado CSF</v>
      </c>
      <c r="AJ26" s="635">
        <v>4678087890750</v>
      </c>
      <c r="AK26" s="657">
        <f>+(AL26/AJ26)*AH26</f>
        <v>0.25797109481752045</v>
      </c>
      <c r="AL26" s="616">
        <v>4827245819317.4502</v>
      </c>
      <c r="AM26" s="478">
        <f t="shared" si="20"/>
        <v>1.0318843792700818</v>
      </c>
      <c r="AN26" s="478">
        <f t="shared" si="1"/>
        <v>1.0318843792700818</v>
      </c>
      <c r="AO26" s="478">
        <f t="shared" si="2"/>
        <v>0.50670274350830136</v>
      </c>
      <c r="AP26" s="478">
        <f t="shared" si="3"/>
        <v>0.51824342817797908</v>
      </c>
      <c r="AQ26" s="632"/>
      <c r="AR26" s="631">
        <v>0.25</v>
      </c>
      <c r="AS26" s="484" t="str">
        <f t="shared" si="31"/>
        <v>Financiación UPC Régimen Subsidiado CSF</v>
      </c>
      <c r="AT26" s="635">
        <v>4678087890750</v>
      </c>
      <c r="AU26" s="479"/>
      <c r="AV26" s="479"/>
      <c r="AW26" s="478">
        <f t="shared" si="21"/>
        <v>0</v>
      </c>
      <c r="AX26" s="478">
        <f t="shared" si="22"/>
        <v>0</v>
      </c>
      <c r="AY26" s="478">
        <f t="shared" si="23"/>
        <v>0.50670274350830136</v>
      </c>
      <c r="AZ26" s="478">
        <f t="shared" si="24"/>
        <v>0.51824342817797908</v>
      </c>
      <c r="BA26" s="478"/>
      <c r="BB26" s="631">
        <v>0.25</v>
      </c>
      <c r="BC26" s="484" t="str">
        <f t="shared" si="32"/>
        <v>Financiación UPC Régimen Subsidiado CSF</v>
      </c>
      <c r="BD26" s="635">
        <v>4678087890750</v>
      </c>
      <c r="BE26" s="479"/>
      <c r="BF26" s="479"/>
      <c r="BG26" s="472">
        <f t="shared" si="25"/>
        <v>0</v>
      </c>
      <c r="BH26" s="472">
        <f t="shared" si="26"/>
        <v>0</v>
      </c>
      <c r="BI26" s="472">
        <f t="shared" si="27"/>
        <v>0.50670274350830136</v>
      </c>
      <c r="BJ26" s="472">
        <f t="shared" si="28"/>
        <v>0.51824342817797908</v>
      </c>
      <c r="BK26" s="472"/>
      <c r="BL26" s="533">
        <f t="shared" si="6"/>
        <v>0.9949265947631234</v>
      </c>
      <c r="BM26" s="533">
        <f t="shared" si="7"/>
        <v>0.9949265947631234</v>
      </c>
      <c r="BN26" s="533">
        <f t="shared" si="8"/>
        <v>1.0318843792700818</v>
      </c>
      <c r="BO26" s="533">
        <f t="shared" si="9"/>
        <v>1.0318843792700818</v>
      </c>
      <c r="BP26" s="533">
        <f t="shared" si="29"/>
        <v>0</v>
      </c>
      <c r="BQ26" s="533">
        <f t="shared" si="30"/>
        <v>0</v>
      </c>
      <c r="BR26" s="533">
        <f t="shared" si="10"/>
        <v>0</v>
      </c>
      <c r="BS26" s="533">
        <f t="shared" si="11"/>
        <v>0</v>
      </c>
      <c r="BT26" s="480">
        <f t="shared" si="14"/>
        <v>0.58333333333333337</v>
      </c>
      <c r="BU26" s="481" t="str">
        <f t="shared" si="36"/>
        <v>Financiación UPC Régimen Subsidiado CSF</v>
      </c>
      <c r="BV26" s="482">
        <f t="shared" si="13"/>
        <v>10915538411750</v>
      </c>
      <c r="BW26" s="479"/>
      <c r="BX26" s="479"/>
      <c r="BY26" s="479"/>
      <c r="BZ26" s="479"/>
      <c r="CA26" s="479"/>
      <c r="CB26" s="479"/>
      <c r="CC26" s="479"/>
    </row>
    <row r="27" spans="1:81" s="428" customFormat="1" ht="51" x14ac:dyDescent="0.25">
      <c r="A27" s="468">
        <v>11300</v>
      </c>
      <c r="B27" s="469" t="s">
        <v>4</v>
      </c>
      <c r="C27" s="470" t="s">
        <v>160</v>
      </c>
      <c r="D27" s="469" t="s">
        <v>145</v>
      </c>
      <c r="E27" s="470" t="s">
        <v>161</v>
      </c>
      <c r="F27" s="469" t="s">
        <v>162</v>
      </c>
      <c r="G27" s="471" t="s">
        <v>123</v>
      </c>
      <c r="H27" s="472">
        <v>1</v>
      </c>
      <c r="I27" s="470" t="s">
        <v>307</v>
      </c>
      <c r="J27" s="469" t="s">
        <v>171</v>
      </c>
      <c r="K27" s="753">
        <v>26475329000</v>
      </c>
      <c r="L27" s="508">
        <v>6.1964004096552467E-4</v>
      </c>
      <c r="M27" s="469" t="s">
        <v>46</v>
      </c>
      <c r="N27" s="469" t="s">
        <v>68</v>
      </c>
      <c r="O27" s="469" t="s">
        <v>21</v>
      </c>
      <c r="P27" s="469" t="s">
        <v>36</v>
      </c>
      <c r="Q27" s="469" t="s">
        <v>213</v>
      </c>
      <c r="R27" s="469" t="s">
        <v>182</v>
      </c>
      <c r="S27" s="469" t="s">
        <v>99</v>
      </c>
      <c r="T27" s="474">
        <v>1</v>
      </c>
      <c r="U27" s="475" t="str">
        <f t="shared" si="15"/>
        <v>Financiación UPC Régimen Subsidiado - CCF - SSF</v>
      </c>
      <c r="V27" s="753">
        <f t="shared" si="37"/>
        <v>26475329000</v>
      </c>
      <c r="W27" s="477" t="s">
        <v>116</v>
      </c>
      <c r="X27" s="472">
        <v>0.25</v>
      </c>
      <c r="Y27" s="484" t="str">
        <f t="shared" si="33"/>
        <v>Financiación UPC Régimen Subsidiado - CCF - SSF</v>
      </c>
      <c r="Z27" s="473">
        <v>6618832250</v>
      </c>
      <c r="AA27" s="559">
        <f t="shared" si="38"/>
        <v>0.24367466379737907</v>
      </c>
      <c r="AB27" s="473">
        <v>6451366893</v>
      </c>
      <c r="AC27" s="478">
        <f t="shared" si="17"/>
        <v>0.97469865518951626</v>
      </c>
      <c r="AD27" s="478">
        <f t="shared" si="18"/>
        <v>0.97469865518951626</v>
      </c>
      <c r="AE27" s="478">
        <f t="shared" si="19"/>
        <v>0.24367466379737907</v>
      </c>
      <c r="AF27" s="478">
        <f t="shared" si="0"/>
        <v>0.24367466379737907</v>
      </c>
      <c r="AG27" s="483"/>
      <c r="AH27" s="631">
        <v>0.25</v>
      </c>
      <c r="AI27" s="484" t="str">
        <f t="shared" si="34"/>
        <v>Financiación UPC Régimen Subsidiado - CCF - SSF</v>
      </c>
      <c r="AJ27" s="635">
        <v>6618832250</v>
      </c>
      <c r="AK27" s="657">
        <f>+(AL27/AJ27)*AH27</f>
        <v>0.24367466379737907</v>
      </c>
      <c r="AL27" s="616">
        <v>6451366893</v>
      </c>
      <c r="AM27" s="478">
        <f t="shared" si="20"/>
        <v>0.97469865518951626</v>
      </c>
      <c r="AN27" s="478">
        <f t="shared" si="1"/>
        <v>0.97469865518951626</v>
      </c>
      <c r="AO27" s="478">
        <f t="shared" si="2"/>
        <v>0.48734932759475813</v>
      </c>
      <c r="AP27" s="478">
        <f t="shared" si="3"/>
        <v>0.48734932759475813</v>
      </c>
      <c r="AQ27" s="632"/>
      <c r="AR27" s="631">
        <v>0.25</v>
      </c>
      <c r="AS27" s="484" t="str">
        <f t="shared" si="31"/>
        <v>Financiación UPC Régimen Subsidiado - CCF - SSF</v>
      </c>
      <c r="AT27" s="635">
        <v>6618832250</v>
      </c>
      <c r="AU27" s="479"/>
      <c r="AV27" s="479"/>
      <c r="AW27" s="478">
        <f t="shared" si="21"/>
        <v>0</v>
      </c>
      <c r="AX27" s="478">
        <f t="shared" si="22"/>
        <v>0</v>
      </c>
      <c r="AY27" s="478">
        <f t="shared" si="23"/>
        <v>0.48734932759475813</v>
      </c>
      <c r="AZ27" s="478">
        <f t="shared" si="24"/>
        <v>0.48734932759475813</v>
      </c>
      <c r="BA27" s="478"/>
      <c r="BB27" s="631">
        <v>0.25</v>
      </c>
      <c r="BC27" s="484" t="str">
        <f t="shared" si="32"/>
        <v>Financiación UPC Régimen Subsidiado - CCF - SSF</v>
      </c>
      <c r="BD27" s="635">
        <v>6618832250</v>
      </c>
      <c r="BE27" s="479"/>
      <c r="BF27" s="479"/>
      <c r="BG27" s="472">
        <f t="shared" si="25"/>
        <v>0</v>
      </c>
      <c r="BH27" s="472">
        <f t="shared" si="26"/>
        <v>0</v>
      </c>
      <c r="BI27" s="472">
        <f t="shared" si="27"/>
        <v>0.48734932759475813</v>
      </c>
      <c r="BJ27" s="472">
        <f t="shared" si="28"/>
        <v>0.48734932759475813</v>
      </c>
      <c r="BK27" s="472"/>
      <c r="BL27" s="533">
        <f t="shared" si="6"/>
        <v>0.97469865518951626</v>
      </c>
      <c r="BM27" s="533">
        <f t="shared" si="7"/>
        <v>0.97469865518951626</v>
      </c>
      <c r="BN27" s="533">
        <f t="shared" si="8"/>
        <v>0.97469865518951626</v>
      </c>
      <c r="BO27" s="533">
        <f t="shared" si="9"/>
        <v>0.97469865518951626</v>
      </c>
      <c r="BP27" s="533">
        <f t="shared" si="29"/>
        <v>0</v>
      </c>
      <c r="BQ27" s="533">
        <f t="shared" si="30"/>
        <v>0</v>
      </c>
      <c r="BR27" s="533">
        <f t="shared" si="10"/>
        <v>0</v>
      </c>
      <c r="BS27" s="533">
        <f t="shared" si="11"/>
        <v>0</v>
      </c>
      <c r="BT27" s="480">
        <f t="shared" si="14"/>
        <v>0.58333333333333337</v>
      </c>
      <c r="BU27" s="481" t="str">
        <f t="shared" si="36"/>
        <v>Financiación UPC Régimen Subsidiado - CCF - SSF</v>
      </c>
      <c r="BV27" s="482">
        <f t="shared" si="13"/>
        <v>15443941916.666666</v>
      </c>
      <c r="BW27" s="479"/>
      <c r="BX27" s="479"/>
      <c r="BY27" s="479"/>
      <c r="BZ27" s="479"/>
      <c r="CA27" s="479"/>
      <c r="CB27" s="479"/>
      <c r="CC27" s="479"/>
    </row>
    <row r="28" spans="1:81" s="428" customFormat="1" ht="63.75" x14ac:dyDescent="0.25">
      <c r="A28" s="468">
        <v>11300</v>
      </c>
      <c r="B28" s="469" t="s">
        <v>4</v>
      </c>
      <c r="C28" s="470" t="s">
        <v>160</v>
      </c>
      <c r="D28" s="469" t="s">
        <v>145</v>
      </c>
      <c r="E28" s="470" t="s">
        <v>161</v>
      </c>
      <c r="F28" s="469" t="s">
        <v>162</v>
      </c>
      <c r="G28" s="471" t="s">
        <v>123</v>
      </c>
      <c r="H28" s="472">
        <v>1</v>
      </c>
      <c r="I28" s="470" t="s">
        <v>308</v>
      </c>
      <c r="J28" s="469" t="s">
        <v>175</v>
      </c>
      <c r="K28" s="696">
        <v>1898654318962</v>
      </c>
      <c r="L28" s="508">
        <v>4.9165875725623717E-3</v>
      </c>
      <c r="M28" s="469" t="s">
        <v>46</v>
      </c>
      <c r="N28" s="469" t="s">
        <v>68</v>
      </c>
      <c r="O28" s="469" t="s">
        <v>21</v>
      </c>
      <c r="P28" s="469" t="s">
        <v>36</v>
      </c>
      <c r="Q28" s="469" t="s">
        <v>213</v>
      </c>
      <c r="R28" s="469" t="s">
        <v>182</v>
      </c>
      <c r="S28" s="469" t="s">
        <v>99</v>
      </c>
      <c r="T28" s="474">
        <v>1</v>
      </c>
      <c r="U28" s="475" t="str">
        <f t="shared" si="15"/>
        <v>Prestaciones Excepcionales - Recobros</v>
      </c>
      <c r="V28" s="753">
        <f t="shared" si="37"/>
        <v>1898654318962</v>
      </c>
      <c r="W28" s="477" t="s">
        <v>116</v>
      </c>
      <c r="X28" s="472">
        <v>0.25</v>
      </c>
      <c r="Y28" s="484" t="str">
        <f t="shared" si="33"/>
        <v>Prestaciones Excepcionales - Recobros</v>
      </c>
      <c r="Z28" s="473">
        <v>52517697750</v>
      </c>
      <c r="AA28" s="559">
        <f>+(AB28/Z28)*X28</f>
        <v>2.5419841830139536</v>
      </c>
      <c r="AB28" s="473">
        <v>533996628035.22998</v>
      </c>
      <c r="AC28" s="478">
        <f t="shared" si="17"/>
        <v>10.167936732055814</v>
      </c>
      <c r="AD28" s="478">
        <f>+(AB28/Z28)</f>
        <v>10.167936732055814</v>
      </c>
      <c r="AE28" s="478">
        <f t="shared" si="19"/>
        <v>2.5419841830139536</v>
      </c>
      <c r="AF28" s="478">
        <f t="shared" si="0"/>
        <v>0.28125005310454171</v>
      </c>
      <c r="AG28" s="483" t="s">
        <v>982</v>
      </c>
      <c r="AH28" s="699">
        <f>+AJ28/V28</f>
        <v>0.44516015944978665</v>
      </c>
      <c r="AI28" s="484" t="str">
        <f t="shared" si="34"/>
        <v>Prestaciones Excepcionales - Recobros</v>
      </c>
      <c r="AJ28" s="696">
        <v>845205259369.15002</v>
      </c>
      <c r="AK28" s="657">
        <f>+(AL28/AJ28)*AH28</f>
        <v>0.44516015944978665</v>
      </c>
      <c r="AL28" s="616">
        <v>845205259369.15002</v>
      </c>
      <c r="AM28" s="478">
        <f t="shared" si="20"/>
        <v>1</v>
      </c>
      <c r="AN28" s="478">
        <f t="shared" si="1"/>
        <v>1</v>
      </c>
      <c r="AO28" s="478">
        <f t="shared" si="2"/>
        <v>2.9871443424637403</v>
      </c>
      <c r="AP28" s="478">
        <f t="shared" si="3"/>
        <v>0.72641021255432836</v>
      </c>
      <c r="AQ28" s="636" t="s">
        <v>1156</v>
      </c>
      <c r="AR28" s="699">
        <f>+AT28/V28</f>
        <v>0.26358967818588014</v>
      </c>
      <c r="AS28" s="484" t="str">
        <f t="shared" si="31"/>
        <v>Prestaciones Excepcionales - Recobros</v>
      </c>
      <c r="AT28" s="696">
        <f>(V28-Z28-AJ28)/2</f>
        <v>500465680921.42499</v>
      </c>
      <c r="AU28" s="479"/>
      <c r="AV28" s="479"/>
      <c r="AW28" s="478">
        <f t="shared" si="21"/>
        <v>0</v>
      </c>
      <c r="AX28" s="478">
        <f t="shared" si="22"/>
        <v>0</v>
      </c>
      <c r="AY28" s="478">
        <f t="shared" si="23"/>
        <v>2.9871443424637403</v>
      </c>
      <c r="AZ28" s="478">
        <f t="shared" si="24"/>
        <v>0.72641021255432836</v>
      </c>
      <c r="BA28" s="478"/>
      <c r="BB28" s="699">
        <f>+BD28/V28</f>
        <v>0.26358967818588014</v>
      </c>
      <c r="BC28" s="484" t="str">
        <f t="shared" si="32"/>
        <v>Prestaciones Excepcionales - Recobros</v>
      </c>
      <c r="BD28" s="696">
        <f>(V28-Z28-AJ28)/2</f>
        <v>500465680921.42499</v>
      </c>
      <c r="BE28" s="479"/>
      <c r="BF28" s="479"/>
      <c r="BG28" s="472">
        <f t="shared" si="25"/>
        <v>0</v>
      </c>
      <c r="BH28" s="472">
        <f t="shared" si="26"/>
        <v>0</v>
      </c>
      <c r="BI28" s="472">
        <f t="shared" si="27"/>
        <v>2.9871443424637403</v>
      </c>
      <c r="BJ28" s="472">
        <f t="shared" si="28"/>
        <v>0.72641021255432836</v>
      </c>
      <c r="BK28" s="472"/>
      <c r="BL28" s="533">
        <f t="shared" si="6"/>
        <v>10.167936732055814</v>
      </c>
      <c r="BM28" s="533">
        <f t="shared" si="7"/>
        <v>10.167936732055814</v>
      </c>
      <c r="BN28" s="533">
        <f t="shared" si="8"/>
        <v>1</v>
      </c>
      <c r="BO28" s="533">
        <f t="shared" si="9"/>
        <v>1</v>
      </c>
      <c r="BP28" s="533">
        <f t="shared" si="29"/>
        <v>0</v>
      </c>
      <c r="BQ28" s="533">
        <f t="shared" si="30"/>
        <v>0</v>
      </c>
      <c r="BR28" s="533">
        <f t="shared" si="10"/>
        <v>0</v>
      </c>
      <c r="BS28" s="533">
        <f t="shared" si="11"/>
        <v>0</v>
      </c>
      <c r="BT28" s="480">
        <f t="shared" si="14"/>
        <v>0.78302338551174677</v>
      </c>
      <c r="BU28" s="481" t="str">
        <f t="shared" si="36"/>
        <v>Prestaciones Excepcionales - Recobros</v>
      </c>
      <c r="BV28" s="482">
        <f t="shared" si="13"/>
        <v>1064544850759.625</v>
      </c>
      <c r="BW28" s="479"/>
      <c r="BX28" s="479"/>
      <c r="BY28" s="479"/>
      <c r="BZ28" s="479"/>
      <c r="CA28" s="479"/>
      <c r="CB28" s="479"/>
      <c r="CC28" s="479"/>
    </row>
    <row r="29" spans="1:81" s="428" customFormat="1" ht="51" x14ac:dyDescent="0.25">
      <c r="A29" s="468">
        <v>11300</v>
      </c>
      <c r="B29" s="469" t="s">
        <v>4</v>
      </c>
      <c r="C29" s="470" t="s">
        <v>160</v>
      </c>
      <c r="D29" s="469" t="s">
        <v>145</v>
      </c>
      <c r="E29" s="470" t="s">
        <v>161</v>
      </c>
      <c r="F29" s="469" t="s">
        <v>162</v>
      </c>
      <c r="G29" s="471" t="s">
        <v>123</v>
      </c>
      <c r="H29" s="472">
        <v>1</v>
      </c>
      <c r="I29" s="470" t="s">
        <v>309</v>
      </c>
      <c r="J29" s="469" t="s">
        <v>172</v>
      </c>
      <c r="K29" s="696">
        <v>169132300428</v>
      </c>
      <c r="L29" s="508">
        <v>3.8834487203722474E-3</v>
      </c>
      <c r="M29" s="469" t="s">
        <v>46</v>
      </c>
      <c r="N29" s="469" t="s">
        <v>68</v>
      </c>
      <c r="O29" s="469" t="s">
        <v>21</v>
      </c>
      <c r="P29" s="469" t="s">
        <v>36</v>
      </c>
      <c r="Q29" s="469" t="s">
        <v>213</v>
      </c>
      <c r="R29" s="469" t="s">
        <v>182</v>
      </c>
      <c r="S29" s="469" t="s">
        <v>99</v>
      </c>
      <c r="T29" s="474">
        <v>1</v>
      </c>
      <c r="U29" s="475" t="str">
        <f t="shared" si="15"/>
        <v>Atención en salud, transporte primario, indemnizaciones y auxilios funerarios víctimas</v>
      </c>
      <c r="V29" s="753">
        <f t="shared" si="37"/>
        <v>169132300428</v>
      </c>
      <c r="W29" s="477" t="s">
        <v>116</v>
      </c>
      <c r="X29" s="472">
        <v>0.25</v>
      </c>
      <c r="Y29" s="484" t="str">
        <f t="shared" si="33"/>
        <v>Atención en salud, transporte primario, indemnizaciones y auxilios funerarios víctimas</v>
      </c>
      <c r="Z29" s="473">
        <v>41481979750</v>
      </c>
      <c r="AA29" s="559">
        <f t="shared" si="38"/>
        <v>0.37511077803977039</v>
      </c>
      <c r="AB29" s="473">
        <v>62241350794.610001</v>
      </c>
      <c r="AC29" s="478">
        <f t="shared" si="17"/>
        <v>1.5004431121590815</v>
      </c>
      <c r="AD29" s="478">
        <f t="shared" si="18"/>
        <v>1.5004431121590815</v>
      </c>
      <c r="AE29" s="478">
        <f t="shared" si="19"/>
        <v>0.37511077803977039</v>
      </c>
      <c r="AF29" s="478">
        <f t="shared" si="0"/>
        <v>0.36800392732260084</v>
      </c>
      <c r="AG29" s="483"/>
      <c r="AH29" s="631">
        <f>+AJ29/V29</f>
        <v>0.2452634987227586</v>
      </c>
      <c r="AI29" s="484" t="str">
        <f t="shared" si="34"/>
        <v>Atención en salud, transporte primario, indemnizaciones y auxilios funerarios víctimas</v>
      </c>
      <c r="AJ29" s="635">
        <v>41481979750</v>
      </c>
      <c r="AK29" s="657">
        <f>+(AL29/AJ29)*AH29</f>
        <v>0.32637710974219947</v>
      </c>
      <c r="AL29" s="616">
        <v>55200911377.739998</v>
      </c>
      <c r="AM29" s="478">
        <f t="shared" si="20"/>
        <v>1.3307202720415001</v>
      </c>
      <c r="AN29" s="478">
        <f t="shared" si="1"/>
        <v>1.3307202720415001</v>
      </c>
      <c r="AO29" s="478">
        <f t="shared" si="2"/>
        <v>0.70148788778196991</v>
      </c>
      <c r="AP29" s="478">
        <f t="shared" si="3"/>
        <v>0.69438103706480026</v>
      </c>
      <c r="AQ29" s="636" t="s">
        <v>1091</v>
      </c>
      <c r="AR29" s="631">
        <f>+AT29/V29</f>
        <v>0.2547365012772414</v>
      </c>
      <c r="AS29" s="484" t="str">
        <f t="shared" si="31"/>
        <v>Atención en salud, transporte primario, indemnizaciones y auxilios funerarios víctimas</v>
      </c>
      <c r="AT29" s="696">
        <f>(V29-Z29-AJ29)/2</f>
        <v>43084170464</v>
      </c>
      <c r="AU29" s="479"/>
      <c r="AV29" s="479"/>
      <c r="AW29" s="478">
        <f t="shared" si="21"/>
        <v>0</v>
      </c>
      <c r="AX29" s="478">
        <f t="shared" si="22"/>
        <v>0</v>
      </c>
      <c r="AY29" s="478">
        <f t="shared" si="23"/>
        <v>0.70148788778196991</v>
      </c>
      <c r="AZ29" s="478">
        <f t="shared" si="24"/>
        <v>0.69438103706480026</v>
      </c>
      <c r="BA29" s="478"/>
      <c r="BB29" s="631">
        <f>+BD29/V29</f>
        <v>0.2547365012772414</v>
      </c>
      <c r="BC29" s="484" t="str">
        <f t="shared" si="32"/>
        <v>Atención en salud, transporte primario, indemnizaciones y auxilios funerarios víctimas</v>
      </c>
      <c r="BD29" s="696">
        <f>(V29-Z29-AJ29)/2</f>
        <v>43084170464</v>
      </c>
      <c r="BE29" s="479"/>
      <c r="BF29" s="479"/>
      <c r="BG29" s="472">
        <f t="shared" si="25"/>
        <v>0</v>
      </c>
      <c r="BH29" s="472">
        <f t="shared" si="26"/>
        <v>0</v>
      </c>
      <c r="BI29" s="472">
        <f t="shared" si="27"/>
        <v>0.70148788778196991</v>
      </c>
      <c r="BJ29" s="472">
        <f t="shared" si="28"/>
        <v>0.69438103706480026</v>
      </c>
      <c r="BK29" s="472"/>
      <c r="BL29" s="533">
        <f t="shared" si="6"/>
        <v>1.5004431121590815</v>
      </c>
      <c r="BM29" s="533">
        <f t="shared" si="7"/>
        <v>1.5004431121590815</v>
      </c>
      <c r="BN29" s="533">
        <f t="shared" si="8"/>
        <v>1.3307202720415001</v>
      </c>
      <c r="BO29" s="533">
        <f t="shared" si="9"/>
        <v>1.3307202720415001</v>
      </c>
      <c r="BP29" s="533">
        <f t="shared" si="29"/>
        <v>0</v>
      </c>
      <c r="BQ29" s="533">
        <f t="shared" si="30"/>
        <v>0</v>
      </c>
      <c r="BR29" s="533">
        <f t="shared" si="10"/>
        <v>0</v>
      </c>
      <c r="BS29" s="533">
        <f t="shared" si="11"/>
        <v>0</v>
      </c>
      <c r="BT29" s="480">
        <f t="shared" si="14"/>
        <v>0.58017566581517244</v>
      </c>
      <c r="BU29" s="481" t="str">
        <f t="shared" si="36"/>
        <v>Atención en salud, transporte primario, indemnizaciones y auxilios funerarios víctimas</v>
      </c>
      <c r="BV29" s="482">
        <f t="shared" si="13"/>
        <v>97325349654.666672</v>
      </c>
      <c r="BW29" s="479"/>
      <c r="BX29" s="479"/>
      <c r="BY29" s="479"/>
      <c r="BZ29" s="479"/>
      <c r="CA29" s="479"/>
      <c r="CB29" s="479"/>
      <c r="CC29" s="479"/>
    </row>
    <row r="30" spans="1:81" s="428" customFormat="1" ht="51" x14ac:dyDescent="0.25">
      <c r="A30" s="468">
        <v>11300</v>
      </c>
      <c r="B30" s="469" t="s">
        <v>4</v>
      </c>
      <c r="C30" s="470" t="s">
        <v>160</v>
      </c>
      <c r="D30" s="469" t="s">
        <v>145</v>
      </c>
      <c r="E30" s="470" t="s">
        <v>161</v>
      </c>
      <c r="F30" s="469" t="s">
        <v>162</v>
      </c>
      <c r="G30" s="471" t="s">
        <v>123</v>
      </c>
      <c r="H30" s="472">
        <v>1</v>
      </c>
      <c r="I30" s="470" t="s">
        <v>310</v>
      </c>
      <c r="J30" s="469" t="s">
        <v>176</v>
      </c>
      <c r="K30" s="753">
        <v>3872113000</v>
      </c>
      <c r="L30" s="508">
        <v>9.0624605947036218E-5</v>
      </c>
      <c r="M30" s="469" t="s">
        <v>46</v>
      </c>
      <c r="N30" s="469" t="s">
        <v>68</v>
      </c>
      <c r="O30" s="469" t="s">
        <v>21</v>
      </c>
      <c r="P30" s="469" t="s">
        <v>36</v>
      </c>
      <c r="Q30" s="469" t="s">
        <v>213</v>
      </c>
      <c r="R30" s="469" t="s">
        <v>182</v>
      </c>
      <c r="S30" s="469" t="s">
        <v>99</v>
      </c>
      <c r="T30" s="474">
        <v>1</v>
      </c>
      <c r="U30" s="475" t="str">
        <f t="shared" si="15"/>
        <v>Fortalecimiento red de urgencias nacional, emergencias sanitarias y eventos catastróficos</v>
      </c>
      <c r="V30" s="753">
        <f t="shared" si="37"/>
        <v>3872113000</v>
      </c>
      <c r="W30" s="477" t="s">
        <v>116</v>
      </c>
      <c r="X30" s="472">
        <v>0.25</v>
      </c>
      <c r="Y30" s="484" t="str">
        <f t="shared" si="33"/>
        <v>Fortalecimiento red de urgencias nacional, emergencias sanitarias y eventos catastróficos</v>
      </c>
      <c r="Z30" s="473">
        <v>968028250</v>
      </c>
      <c r="AA30" s="559">
        <f t="shared" si="38"/>
        <v>0</v>
      </c>
      <c r="AB30" s="473">
        <v>0</v>
      </c>
      <c r="AC30" s="478">
        <f t="shared" si="17"/>
        <v>0</v>
      </c>
      <c r="AD30" s="478">
        <f t="shared" si="18"/>
        <v>0</v>
      </c>
      <c r="AE30" s="478">
        <f t="shared" si="19"/>
        <v>0</v>
      </c>
      <c r="AF30" s="478">
        <f t="shared" si="0"/>
        <v>0</v>
      </c>
      <c r="AG30" s="483"/>
      <c r="AH30" s="631">
        <v>0.25</v>
      </c>
      <c r="AI30" s="484" t="str">
        <f t="shared" si="34"/>
        <v>Fortalecimiento red de urgencias nacional, emergencias sanitarias y eventos catastróficos</v>
      </c>
      <c r="AJ30" s="635">
        <v>968028250</v>
      </c>
      <c r="AK30" s="657">
        <f t="shared" si="35"/>
        <v>0</v>
      </c>
      <c r="AL30" s="616">
        <v>0</v>
      </c>
      <c r="AM30" s="478">
        <f t="shared" si="20"/>
        <v>0</v>
      </c>
      <c r="AN30" s="478">
        <f t="shared" si="1"/>
        <v>0</v>
      </c>
      <c r="AO30" s="478">
        <f t="shared" si="2"/>
        <v>0</v>
      </c>
      <c r="AP30" s="478">
        <f t="shared" si="3"/>
        <v>0</v>
      </c>
      <c r="AQ30" s="632"/>
      <c r="AR30" s="631">
        <v>0.25</v>
      </c>
      <c r="AS30" s="484" t="str">
        <f t="shared" si="31"/>
        <v>Fortalecimiento red de urgencias nacional, emergencias sanitarias y eventos catastróficos</v>
      </c>
      <c r="AT30" s="635">
        <v>968028250</v>
      </c>
      <c r="AU30" s="479"/>
      <c r="AV30" s="479"/>
      <c r="AW30" s="478">
        <f t="shared" si="21"/>
        <v>0</v>
      </c>
      <c r="AX30" s="478">
        <f t="shared" si="22"/>
        <v>0</v>
      </c>
      <c r="AY30" s="478">
        <f t="shared" si="23"/>
        <v>0</v>
      </c>
      <c r="AZ30" s="478">
        <f t="shared" si="24"/>
        <v>0</v>
      </c>
      <c r="BA30" s="478"/>
      <c r="BB30" s="631">
        <v>0.25</v>
      </c>
      <c r="BC30" s="484" t="str">
        <f t="shared" si="32"/>
        <v>Fortalecimiento red de urgencias nacional, emergencias sanitarias y eventos catastróficos</v>
      </c>
      <c r="BD30" s="635">
        <v>968028250</v>
      </c>
      <c r="BE30" s="479"/>
      <c r="BF30" s="479"/>
      <c r="BG30" s="472">
        <f t="shared" si="25"/>
        <v>0</v>
      </c>
      <c r="BH30" s="472">
        <f t="shared" si="26"/>
        <v>0</v>
      </c>
      <c r="BI30" s="472">
        <f t="shared" si="27"/>
        <v>0</v>
      </c>
      <c r="BJ30" s="472">
        <f t="shared" si="28"/>
        <v>0</v>
      </c>
      <c r="BK30" s="472"/>
      <c r="BL30" s="533">
        <f t="shared" si="6"/>
        <v>0</v>
      </c>
      <c r="BM30" s="533">
        <f t="shared" si="7"/>
        <v>0</v>
      </c>
      <c r="BN30" s="533">
        <f t="shared" si="8"/>
        <v>0</v>
      </c>
      <c r="BO30" s="533">
        <f t="shared" si="9"/>
        <v>0</v>
      </c>
      <c r="BP30" s="533">
        <f t="shared" si="29"/>
        <v>0</v>
      </c>
      <c r="BQ30" s="533">
        <f t="shared" si="30"/>
        <v>0</v>
      </c>
      <c r="BR30" s="533">
        <f t="shared" si="10"/>
        <v>0</v>
      </c>
      <c r="BS30" s="533">
        <f t="shared" si="11"/>
        <v>0</v>
      </c>
      <c r="BT30" s="480">
        <f t="shared" si="14"/>
        <v>0.58333333333333337</v>
      </c>
      <c r="BU30" s="481" t="str">
        <f t="shared" si="36"/>
        <v>Fortalecimiento red de urgencias nacional, emergencias sanitarias y eventos catastróficos</v>
      </c>
      <c r="BV30" s="482">
        <f t="shared" si="13"/>
        <v>2258732583.3333335</v>
      </c>
      <c r="BW30" s="479"/>
      <c r="BX30" s="479"/>
      <c r="BY30" s="479"/>
      <c r="BZ30" s="479"/>
      <c r="CA30" s="479"/>
      <c r="CB30" s="479"/>
      <c r="CC30" s="479"/>
    </row>
    <row r="31" spans="1:81" s="428" customFormat="1" ht="63.75" x14ac:dyDescent="0.25">
      <c r="A31" s="468">
        <v>11300</v>
      </c>
      <c r="B31" s="469" t="s">
        <v>4</v>
      </c>
      <c r="C31" s="470" t="s">
        <v>160</v>
      </c>
      <c r="D31" s="469" t="s">
        <v>145</v>
      </c>
      <c r="E31" s="470" t="s">
        <v>161</v>
      </c>
      <c r="F31" s="469" t="s">
        <v>162</v>
      </c>
      <c r="G31" s="471" t="s">
        <v>123</v>
      </c>
      <c r="H31" s="472">
        <v>1</v>
      </c>
      <c r="I31" s="470" t="s">
        <v>311</v>
      </c>
      <c r="J31" s="469" t="s">
        <v>177</v>
      </c>
      <c r="K31" s="753">
        <v>21173464353</v>
      </c>
      <c r="L31" s="508">
        <v>4.9135456751127002E-4</v>
      </c>
      <c r="M31" s="469" t="s">
        <v>46</v>
      </c>
      <c r="N31" s="469" t="s">
        <v>68</v>
      </c>
      <c r="O31" s="469" t="s">
        <v>21</v>
      </c>
      <c r="P31" s="469" t="s">
        <v>36</v>
      </c>
      <c r="Q31" s="469" t="s">
        <v>213</v>
      </c>
      <c r="R31" s="469" t="s">
        <v>182</v>
      </c>
      <c r="S31" s="469" t="s">
        <v>99</v>
      </c>
      <c r="T31" s="474">
        <v>1</v>
      </c>
      <c r="U31" s="475" t="str">
        <f t="shared" si="15"/>
        <v>Otros programas de salud promoción y prevención</v>
      </c>
      <c r="V31" s="753">
        <f t="shared" si="37"/>
        <v>21173464353</v>
      </c>
      <c r="W31" s="477" t="s">
        <v>116</v>
      </c>
      <c r="X31" s="472">
        <v>0.25</v>
      </c>
      <c r="Y31" s="484" t="str">
        <f t="shared" si="33"/>
        <v>Otros programas de salud promoción y prevención</v>
      </c>
      <c r="Z31" s="473">
        <v>5248520500</v>
      </c>
      <c r="AA31" s="559">
        <f>+(AB31/Z31)*X31</f>
        <v>9.2528103872319828E-4</v>
      </c>
      <c r="AB31" s="473">
        <v>19425426</v>
      </c>
      <c r="AC31" s="508">
        <f t="shared" si="17"/>
        <v>3.7011241548927931E-3</v>
      </c>
      <c r="AD31" s="508">
        <f t="shared" si="18"/>
        <v>3.7011241548927931E-3</v>
      </c>
      <c r="AE31" s="508">
        <f t="shared" si="19"/>
        <v>9.2528103872319828E-4</v>
      </c>
      <c r="AF31" s="508">
        <f t="shared" si="0"/>
        <v>9.174420244199516E-4</v>
      </c>
      <c r="AG31" s="483" t="s">
        <v>982</v>
      </c>
      <c r="AH31" s="631">
        <f>+AJ31/V31</f>
        <v>0.24999999998819278</v>
      </c>
      <c r="AI31" s="484" t="str">
        <f t="shared" si="34"/>
        <v>Otros programas de salud promoción y prevención</v>
      </c>
      <c r="AJ31" s="696">
        <v>5293366088</v>
      </c>
      <c r="AK31" s="657">
        <f>+(AL31/AJ31)*AH31</f>
        <v>0</v>
      </c>
      <c r="AL31" s="616">
        <v>0</v>
      </c>
      <c r="AM31" s="478">
        <f t="shared" si="20"/>
        <v>0</v>
      </c>
      <c r="AN31" s="478">
        <f t="shared" si="1"/>
        <v>0</v>
      </c>
      <c r="AO31" s="478">
        <f t="shared" si="2"/>
        <v>9.2528103872319828E-4</v>
      </c>
      <c r="AP31" s="478">
        <f t="shared" si="3"/>
        <v>9.174420244199516E-4</v>
      </c>
      <c r="AQ31" s="636" t="s">
        <v>1091</v>
      </c>
      <c r="AR31" s="631">
        <f>+AT31/V31</f>
        <v>0.25105900451037066</v>
      </c>
      <c r="AS31" s="484" t="str">
        <f t="shared" si="31"/>
        <v>Otros programas de salud promoción y prevención</v>
      </c>
      <c r="AT31" s="696">
        <f>(V31-Z31-AJ31)/2</f>
        <v>5315788882.5</v>
      </c>
      <c r="AU31" s="479"/>
      <c r="AV31" s="479"/>
      <c r="AW31" s="478">
        <f t="shared" si="21"/>
        <v>0</v>
      </c>
      <c r="AX31" s="478">
        <f t="shared" si="22"/>
        <v>0</v>
      </c>
      <c r="AY31" s="478">
        <f t="shared" si="23"/>
        <v>9.2528103872319828E-4</v>
      </c>
      <c r="AZ31" s="478">
        <f t="shared" si="24"/>
        <v>9.174420244199516E-4</v>
      </c>
      <c r="BA31" s="478"/>
      <c r="BB31" s="631">
        <f>+BD31/V31</f>
        <v>0.25105900451037066</v>
      </c>
      <c r="BC31" s="484" t="str">
        <f t="shared" si="32"/>
        <v>Otros programas de salud promoción y prevención</v>
      </c>
      <c r="BD31" s="696">
        <f>(V31-Z31-AJ31)/2</f>
        <v>5315788882.5</v>
      </c>
      <c r="BE31" s="479"/>
      <c r="BF31" s="479"/>
      <c r="BG31" s="472">
        <f t="shared" si="25"/>
        <v>0</v>
      </c>
      <c r="BH31" s="472">
        <f t="shared" si="26"/>
        <v>0</v>
      </c>
      <c r="BI31" s="472">
        <f t="shared" si="27"/>
        <v>9.2528103872319828E-4</v>
      </c>
      <c r="BJ31" s="472">
        <f t="shared" si="28"/>
        <v>9.174420244199516E-4</v>
      </c>
      <c r="BK31" s="472"/>
      <c r="BL31" s="533">
        <f t="shared" si="6"/>
        <v>3.7011241548927931E-3</v>
      </c>
      <c r="BM31" s="533">
        <f t="shared" si="7"/>
        <v>3.7011241548927931E-3</v>
      </c>
      <c r="BN31" s="533">
        <f t="shared" si="8"/>
        <v>0</v>
      </c>
      <c r="BO31" s="533">
        <f t="shared" si="9"/>
        <v>0</v>
      </c>
      <c r="BP31" s="533">
        <f t="shared" si="29"/>
        <v>0</v>
      </c>
      <c r="BQ31" s="533">
        <f t="shared" si="30"/>
        <v>0</v>
      </c>
      <c r="BR31" s="533">
        <f t="shared" si="10"/>
        <v>0</v>
      </c>
      <c r="BS31" s="533">
        <f t="shared" si="11"/>
        <v>0</v>
      </c>
      <c r="BT31" s="480">
        <f t="shared" si="14"/>
        <v>0.583686334824983</v>
      </c>
      <c r="BU31" s="481" t="str">
        <f t="shared" si="36"/>
        <v>Otros programas de salud promoción y prevención</v>
      </c>
      <c r="BV31" s="482">
        <f t="shared" si="13"/>
        <v>12313816215.5</v>
      </c>
      <c r="BW31" s="479"/>
      <c r="BX31" s="479"/>
      <c r="BY31" s="479"/>
      <c r="BZ31" s="479"/>
      <c r="CA31" s="479"/>
      <c r="CB31" s="479"/>
      <c r="CC31" s="479"/>
    </row>
    <row r="32" spans="1:81" s="428" customFormat="1" ht="51" x14ac:dyDescent="0.25">
      <c r="A32" s="468">
        <v>11300</v>
      </c>
      <c r="B32" s="469" t="s">
        <v>4</v>
      </c>
      <c r="C32" s="470" t="s">
        <v>160</v>
      </c>
      <c r="D32" s="469" t="s">
        <v>145</v>
      </c>
      <c r="E32" s="470" t="s">
        <v>161</v>
      </c>
      <c r="F32" s="469" t="s">
        <v>162</v>
      </c>
      <c r="G32" s="471" t="s">
        <v>123</v>
      </c>
      <c r="H32" s="472">
        <v>1</v>
      </c>
      <c r="I32" s="470" t="s">
        <v>312</v>
      </c>
      <c r="J32" s="469" t="s">
        <v>178</v>
      </c>
      <c r="K32" s="753">
        <v>161564182000</v>
      </c>
      <c r="L32" s="508">
        <v>3.7813179338788E-3</v>
      </c>
      <c r="M32" s="469" t="s">
        <v>46</v>
      </c>
      <c r="N32" s="469" t="s">
        <v>68</v>
      </c>
      <c r="O32" s="469" t="s">
        <v>21</v>
      </c>
      <c r="P32" s="469" t="s">
        <v>36</v>
      </c>
      <c r="Q32" s="469" t="s">
        <v>213</v>
      </c>
      <c r="R32" s="469" t="s">
        <v>182</v>
      </c>
      <c r="S32" s="469" t="s">
        <v>99</v>
      </c>
      <c r="T32" s="474">
        <v>1</v>
      </c>
      <c r="U32" s="475" t="str">
        <f t="shared" si="15"/>
        <v>Recursos con destinación especifica</v>
      </c>
      <c r="V32" s="753">
        <f t="shared" si="37"/>
        <v>161564182000</v>
      </c>
      <c r="W32" s="477" t="s">
        <v>116</v>
      </c>
      <c r="X32" s="472">
        <v>0.25</v>
      </c>
      <c r="Y32" s="484" t="str">
        <f t="shared" si="33"/>
        <v>Recursos con destinación especifica</v>
      </c>
      <c r="Z32" s="473">
        <v>40391045500</v>
      </c>
      <c r="AA32" s="559">
        <f t="shared" si="38"/>
        <v>1.7306364600044829E-3</v>
      </c>
      <c r="AB32" s="473">
        <v>279608864</v>
      </c>
      <c r="AC32" s="508">
        <f t="shared" si="17"/>
        <v>6.9225458400179315E-3</v>
      </c>
      <c r="AD32" s="508">
        <f t="shared" si="18"/>
        <v>6.9225458400179315E-3</v>
      </c>
      <c r="AE32" s="508">
        <f t="shared" si="19"/>
        <v>1.7306364600044829E-3</v>
      </c>
      <c r="AF32" s="508">
        <f>+(AB32/V32)</f>
        <v>1.7306364600044829E-3</v>
      </c>
      <c r="AG32" s="483"/>
      <c r="AH32" s="631">
        <v>0.25</v>
      </c>
      <c r="AI32" s="484" t="str">
        <f t="shared" si="34"/>
        <v>Recursos con destinación especifica</v>
      </c>
      <c r="AJ32" s="635">
        <v>40391045500</v>
      </c>
      <c r="AK32" s="657">
        <f t="shared" si="35"/>
        <v>3.4039135140733111E-2</v>
      </c>
      <c r="AL32" s="616">
        <v>5499505025</v>
      </c>
      <c r="AM32" s="478">
        <f t="shared" si="20"/>
        <v>0.13615654056293244</v>
      </c>
      <c r="AN32" s="478">
        <f t="shared" si="1"/>
        <v>0.13615654056293244</v>
      </c>
      <c r="AO32" s="478">
        <f t="shared" si="2"/>
        <v>3.576977160073759E-2</v>
      </c>
      <c r="AP32" s="478">
        <f t="shared" si="3"/>
        <v>3.5769771600737597E-2</v>
      </c>
      <c r="AQ32" s="632"/>
      <c r="AR32" s="631">
        <v>0.25</v>
      </c>
      <c r="AS32" s="484" t="str">
        <f t="shared" si="31"/>
        <v>Recursos con destinación especifica</v>
      </c>
      <c r="AT32" s="635">
        <v>40391045500</v>
      </c>
      <c r="AU32" s="479"/>
      <c r="AV32" s="479"/>
      <c r="AW32" s="478">
        <f t="shared" si="21"/>
        <v>0</v>
      </c>
      <c r="AX32" s="478">
        <f t="shared" si="22"/>
        <v>0</v>
      </c>
      <c r="AY32" s="478">
        <f t="shared" si="23"/>
        <v>3.576977160073759E-2</v>
      </c>
      <c r="AZ32" s="478">
        <f t="shared" si="24"/>
        <v>3.5769771600737597E-2</v>
      </c>
      <c r="BA32" s="478"/>
      <c r="BB32" s="631">
        <v>0.25</v>
      </c>
      <c r="BC32" s="484" t="str">
        <f t="shared" si="32"/>
        <v>Recursos con destinación especifica</v>
      </c>
      <c r="BD32" s="635">
        <v>40391045500</v>
      </c>
      <c r="BE32" s="479"/>
      <c r="BF32" s="479"/>
      <c r="BG32" s="472">
        <f t="shared" si="25"/>
        <v>0</v>
      </c>
      <c r="BH32" s="472">
        <f t="shared" si="26"/>
        <v>0</v>
      </c>
      <c r="BI32" s="472">
        <f t="shared" si="27"/>
        <v>3.576977160073759E-2</v>
      </c>
      <c r="BJ32" s="472">
        <f t="shared" si="28"/>
        <v>3.5769771600737597E-2</v>
      </c>
      <c r="BK32" s="472"/>
      <c r="BL32" s="533">
        <f t="shared" si="6"/>
        <v>6.9225458400179315E-3</v>
      </c>
      <c r="BM32" s="533">
        <f t="shared" si="7"/>
        <v>6.9225458400179315E-3</v>
      </c>
      <c r="BN32" s="533">
        <f t="shared" si="8"/>
        <v>0.13615654056293244</v>
      </c>
      <c r="BO32" s="533">
        <f t="shared" si="9"/>
        <v>0.13615654056293244</v>
      </c>
      <c r="BP32" s="533">
        <f t="shared" si="29"/>
        <v>0</v>
      </c>
      <c r="BQ32" s="533">
        <f t="shared" si="30"/>
        <v>0</v>
      </c>
      <c r="BR32" s="533">
        <f t="shared" si="10"/>
        <v>0</v>
      </c>
      <c r="BS32" s="533">
        <f t="shared" si="11"/>
        <v>0</v>
      </c>
      <c r="BT32" s="480">
        <f t="shared" si="14"/>
        <v>0.58333333333333337</v>
      </c>
      <c r="BU32" s="481" t="str">
        <f t="shared" si="36"/>
        <v>Recursos con destinación especifica</v>
      </c>
      <c r="BV32" s="482">
        <f t="shared" si="13"/>
        <v>94245772833.333328</v>
      </c>
      <c r="BW32" s="479"/>
      <c r="BX32" s="479"/>
      <c r="BY32" s="479"/>
      <c r="BZ32" s="479"/>
      <c r="CA32" s="479"/>
      <c r="CB32" s="479"/>
      <c r="CC32" s="479"/>
    </row>
    <row r="33" spans="1:82" s="428" customFormat="1" ht="51" x14ac:dyDescent="0.25">
      <c r="A33" s="468">
        <v>11300</v>
      </c>
      <c r="B33" s="469" t="s">
        <v>4</v>
      </c>
      <c r="C33" s="470" t="s">
        <v>160</v>
      </c>
      <c r="D33" s="469" t="s">
        <v>145</v>
      </c>
      <c r="E33" s="470" t="s">
        <v>161</v>
      </c>
      <c r="F33" s="469" t="s">
        <v>162</v>
      </c>
      <c r="G33" s="471" t="s">
        <v>123</v>
      </c>
      <c r="H33" s="472">
        <v>1</v>
      </c>
      <c r="I33" s="470" t="s">
        <v>313</v>
      </c>
      <c r="J33" s="469" t="s">
        <v>179</v>
      </c>
      <c r="K33" s="753">
        <v>51737471000</v>
      </c>
      <c r="L33" s="508">
        <v>1.2108861291163801E-3</v>
      </c>
      <c r="M33" s="469" t="s">
        <v>46</v>
      </c>
      <c r="N33" s="469" t="s">
        <v>68</v>
      </c>
      <c r="O33" s="469" t="s">
        <v>21</v>
      </c>
      <c r="P33" s="469" t="s">
        <v>36</v>
      </c>
      <c r="Q33" s="469" t="s">
        <v>213</v>
      </c>
      <c r="R33" s="469" t="s">
        <v>182</v>
      </c>
      <c r="S33" s="469" t="s">
        <v>99</v>
      </c>
      <c r="T33" s="474">
        <v>1</v>
      </c>
      <c r="U33" s="475" t="str">
        <f t="shared" si="15"/>
        <v>FONSAET</v>
      </c>
      <c r="V33" s="753">
        <f t="shared" si="37"/>
        <v>51737471000</v>
      </c>
      <c r="W33" s="477" t="s">
        <v>116</v>
      </c>
      <c r="X33" s="472">
        <v>0.25</v>
      </c>
      <c r="Y33" s="484" t="str">
        <f t="shared" si="33"/>
        <v>FONSAET</v>
      </c>
      <c r="Z33" s="473">
        <v>12934367750</v>
      </c>
      <c r="AA33" s="559">
        <f t="shared" si="38"/>
        <v>0</v>
      </c>
      <c r="AB33" s="473">
        <v>0</v>
      </c>
      <c r="AC33" s="478">
        <f t="shared" si="17"/>
        <v>0</v>
      </c>
      <c r="AD33" s="478">
        <f t="shared" si="18"/>
        <v>0</v>
      </c>
      <c r="AE33" s="478">
        <f t="shared" si="19"/>
        <v>0</v>
      </c>
      <c r="AF33" s="478">
        <f t="shared" si="0"/>
        <v>0</v>
      </c>
      <c r="AG33" s="483"/>
      <c r="AH33" s="631">
        <v>0.25</v>
      </c>
      <c r="AI33" s="484" t="str">
        <f t="shared" si="34"/>
        <v>FONSAET</v>
      </c>
      <c r="AJ33" s="635">
        <v>12934367750</v>
      </c>
      <c r="AK33" s="657">
        <f t="shared" si="35"/>
        <v>0</v>
      </c>
      <c r="AL33" s="616">
        <v>0</v>
      </c>
      <c r="AM33" s="478">
        <f>+(AK33/AH33)</f>
        <v>0</v>
      </c>
      <c r="AN33" s="478">
        <f>+(AL33/AJ33)</f>
        <v>0</v>
      </c>
      <c r="AO33" s="478">
        <f>+(AK33+AA33)/T33</f>
        <v>0</v>
      </c>
      <c r="AP33" s="478">
        <f>+(AL33+AB33)/V33</f>
        <v>0</v>
      </c>
      <c r="AQ33" s="632"/>
      <c r="AR33" s="631">
        <v>0.25</v>
      </c>
      <c r="AS33" s="484" t="str">
        <f t="shared" si="31"/>
        <v>FONSAET</v>
      </c>
      <c r="AT33" s="635">
        <v>12934367750</v>
      </c>
      <c r="AU33" s="479"/>
      <c r="AV33" s="479"/>
      <c r="AW33" s="478">
        <f t="shared" si="21"/>
        <v>0</v>
      </c>
      <c r="AX33" s="478">
        <f t="shared" si="22"/>
        <v>0</v>
      </c>
      <c r="AY33" s="478">
        <f t="shared" si="23"/>
        <v>0</v>
      </c>
      <c r="AZ33" s="478">
        <f t="shared" si="24"/>
        <v>0</v>
      </c>
      <c r="BA33" s="478"/>
      <c r="BB33" s="631">
        <v>0.25</v>
      </c>
      <c r="BC33" s="484" t="str">
        <f t="shared" si="32"/>
        <v>FONSAET</v>
      </c>
      <c r="BD33" s="635">
        <v>12934367750</v>
      </c>
      <c r="BE33" s="479"/>
      <c r="BF33" s="479"/>
      <c r="BG33" s="472">
        <f t="shared" si="25"/>
        <v>0</v>
      </c>
      <c r="BH33" s="472">
        <f t="shared" si="26"/>
        <v>0</v>
      </c>
      <c r="BI33" s="472">
        <f>+(AK33+AA33+AU33+BE33)/T33</f>
        <v>0</v>
      </c>
      <c r="BJ33" s="472">
        <f>+(AL33+AB33+AV33+BF33)/V33</f>
        <v>0</v>
      </c>
      <c r="BK33" s="472"/>
      <c r="BL33" s="533">
        <f>IF(AND(X33=0,AA33=0),"No Prog ni Ejec",IF(X33=0,CONCATENATE("No Prog, Ejec=  ",AA33),AA33/X33))</f>
        <v>0</v>
      </c>
      <c r="BM33" s="533">
        <f>IF(AND(Z33=0,AB33=0),"No Prog ni Ejec",IF(Z33=0,CONCATENATE("No Prog, Ejec=  ",AB33),AB33/Z33))</f>
        <v>0</v>
      </c>
      <c r="BN33" s="533">
        <f>IF(AND(AH33=0,AK33=0),"No Prog ni Ejec",IF(AH33=0,CONCATENATE("No Prog, Ejec=  ",AK33),AK33/AH33))</f>
        <v>0</v>
      </c>
      <c r="BO33" s="533">
        <f>IF(AND(AJ33=0,AL33=0),"No Prog ni Ejec",IF(AJ33=0,CONCATENATE("No Prog, Ejec=  ",AL33),AL33/AJ33))</f>
        <v>0</v>
      </c>
      <c r="BP33" s="533">
        <f>IF(AND(AR33=0,AU33=0),"No Prog ni Ejec",IF(AR33=0,CONCATENATE("No Prog, Ejec=  ",AU33),AU33/AR33))</f>
        <v>0</v>
      </c>
      <c r="BQ33" s="533">
        <f t="shared" si="30"/>
        <v>0</v>
      </c>
      <c r="BR33" s="533">
        <f>IF(AND(BB33=0,BE33=0),"No Prog ni Ejec",IF(BB33=0,CONCATENATE("No Prog, Ejec=  ",BE33),BE33/BB33))</f>
        <v>0</v>
      </c>
      <c r="BS33" s="533">
        <f>IF(AND(BD33=0,BF33=0),"No Prog ni Ejec",IF(BD33=0,CONCATENATE("No Prog, Ejec=  ",BF33),BF33/BD33))</f>
        <v>0</v>
      </c>
      <c r="BT33" s="480">
        <f t="shared" si="14"/>
        <v>0.58333333333333337</v>
      </c>
      <c r="BU33" s="481" t="str">
        <f t="shared" si="36"/>
        <v>FONSAET</v>
      </c>
      <c r="BV33" s="482">
        <f t="shared" si="13"/>
        <v>30180191416.666668</v>
      </c>
      <c r="BW33" s="479"/>
      <c r="BX33" s="479"/>
      <c r="BY33" s="479"/>
      <c r="BZ33" s="479"/>
      <c r="CA33" s="479"/>
      <c r="CB33" s="479"/>
      <c r="CC33" s="479"/>
    </row>
    <row r="34" spans="1:82" s="428" customFormat="1" ht="51" x14ac:dyDescent="0.25">
      <c r="A34" s="468">
        <v>11300</v>
      </c>
      <c r="B34" s="469" t="s">
        <v>4</v>
      </c>
      <c r="C34" s="470" t="s">
        <v>160</v>
      </c>
      <c r="D34" s="469" t="s">
        <v>145</v>
      </c>
      <c r="E34" s="470" t="s">
        <v>161</v>
      </c>
      <c r="F34" s="469" t="s">
        <v>162</v>
      </c>
      <c r="G34" s="471" t="s">
        <v>123</v>
      </c>
      <c r="H34" s="472">
        <v>1</v>
      </c>
      <c r="I34" s="470" t="s">
        <v>314</v>
      </c>
      <c r="J34" s="469" t="s">
        <v>180</v>
      </c>
      <c r="K34" s="753">
        <v>4936416000</v>
      </c>
      <c r="L34" s="508">
        <v>1.1553401328696884E-4</v>
      </c>
      <c r="M34" s="469" t="s">
        <v>46</v>
      </c>
      <c r="N34" s="469" t="s">
        <v>68</v>
      </c>
      <c r="O34" s="469" t="s">
        <v>21</v>
      </c>
      <c r="P34" s="469" t="s">
        <v>36</v>
      </c>
      <c r="Q34" s="469" t="s">
        <v>213</v>
      </c>
      <c r="R34" s="469" t="s">
        <v>182</v>
      </c>
      <c r="S34" s="469" t="s">
        <v>99</v>
      </c>
      <c r="T34" s="474">
        <v>1</v>
      </c>
      <c r="U34" s="475" t="str">
        <f t="shared" si="15"/>
        <v>Rendimientos Financieros cuentas de recaudo EPS - SSF</v>
      </c>
      <c r="V34" s="753">
        <f t="shared" si="37"/>
        <v>4936416000</v>
      </c>
      <c r="W34" s="477" t="s">
        <v>116</v>
      </c>
      <c r="X34" s="472">
        <v>0.25</v>
      </c>
      <c r="Y34" s="484" t="str">
        <f t="shared" si="33"/>
        <v>Rendimientos Financieros cuentas de recaudo EPS - SSF</v>
      </c>
      <c r="Z34" s="473">
        <v>1234104000</v>
      </c>
      <c r="AA34" s="559">
        <f t="shared" si="38"/>
        <v>0.26111160951589168</v>
      </c>
      <c r="AB34" s="473">
        <v>1288955527</v>
      </c>
      <c r="AC34" s="478">
        <f t="shared" si="17"/>
        <v>1.0444464380635667</v>
      </c>
      <c r="AD34" s="478">
        <f t="shared" si="18"/>
        <v>1.0444464380635667</v>
      </c>
      <c r="AE34" s="478">
        <f t="shared" si="19"/>
        <v>0.26111160951589168</v>
      </c>
      <c r="AF34" s="478">
        <f t="shared" si="0"/>
        <v>0.26111160951589168</v>
      </c>
      <c r="AG34" s="483"/>
      <c r="AH34" s="631">
        <v>0.25</v>
      </c>
      <c r="AI34" s="484" t="str">
        <f t="shared" si="34"/>
        <v>Rendimientos Financieros cuentas de recaudo EPS - SSF</v>
      </c>
      <c r="AJ34" s="635">
        <v>1234104000</v>
      </c>
      <c r="AK34" s="657">
        <f>+(AL34/AJ34)*AH34</f>
        <v>0.38625807326611045</v>
      </c>
      <c r="AL34" s="616">
        <v>1906730533</v>
      </c>
      <c r="AM34" s="478">
        <f t="shared" si="20"/>
        <v>1.5450322930644418</v>
      </c>
      <c r="AN34" s="478">
        <f t="shared" si="1"/>
        <v>1.5450322930644418</v>
      </c>
      <c r="AO34" s="478">
        <f t="shared" si="2"/>
        <v>0.64736968278200213</v>
      </c>
      <c r="AP34" s="478">
        <f t="shared" si="3"/>
        <v>0.64736968278200213</v>
      </c>
      <c r="AQ34" s="632"/>
      <c r="AR34" s="631">
        <v>0.25</v>
      </c>
      <c r="AS34" s="484" t="str">
        <f t="shared" si="31"/>
        <v>Rendimientos Financieros cuentas de recaudo EPS - SSF</v>
      </c>
      <c r="AT34" s="635">
        <v>1234104000</v>
      </c>
      <c r="AU34" s="479"/>
      <c r="AV34" s="479"/>
      <c r="AW34" s="478">
        <f t="shared" si="21"/>
        <v>0</v>
      </c>
      <c r="AX34" s="478">
        <f t="shared" si="22"/>
        <v>0</v>
      </c>
      <c r="AY34" s="478">
        <f t="shared" si="23"/>
        <v>0.64736968278200213</v>
      </c>
      <c r="AZ34" s="478">
        <f t="shared" si="24"/>
        <v>0.64736968278200213</v>
      </c>
      <c r="BA34" s="478"/>
      <c r="BB34" s="631">
        <v>0.25</v>
      </c>
      <c r="BC34" s="484" t="str">
        <f t="shared" si="32"/>
        <v>Rendimientos Financieros cuentas de recaudo EPS - SSF</v>
      </c>
      <c r="BD34" s="635">
        <v>1234104000</v>
      </c>
      <c r="BE34" s="479"/>
      <c r="BF34" s="479"/>
      <c r="BG34" s="472">
        <f t="shared" si="25"/>
        <v>0</v>
      </c>
      <c r="BH34" s="472">
        <f t="shared" si="26"/>
        <v>0</v>
      </c>
      <c r="BI34" s="472">
        <f t="shared" si="27"/>
        <v>0.64736968278200213</v>
      </c>
      <c r="BJ34" s="472">
        <f t="shared" si="28"/>
        <v>0.64736968278200213</v>
      </c>
      <c r="BK34" s="472"/>
      <c r="BL34" s="533">
        <f t="shared" si="6"/>
        <v>1.0444464380635667</v>
      </c>
      <c r="BM34" s="533">
        <f t="shared" si="7"/>
        <v>1.0444464380635667</v>
      </c>
      <c r="BN34" s="533">
        <f t="shared" si="8"/>
        <v>1.5450322930644418</v>
      </c>
      <c r="BO34" s="533">
        <f t="shared" si="9"/>
        <v>1.5450322930644418</v>
      </c>
      <c r="BP34" s="533">
        <f t="shared" si="29"/>
        <v>0</v>
      </c>
      <c r="BQ34" s="533">
        <f t="shared" si="30"/>
        <v>0</v>
      </c>
      <c r="BR34" s="533">
        <f t="shared" si="10"/>
        <v>0</v>
      </c>
      <c r="BS34" s="533">
        <f t="shared" si="11"/>
        <v>0</v>
      </c>
      <c r="BT34" s="480">
        <f t="shared" si="14"/>
        <v>0.58333333333333337</v>
      </c>
      <c r="BU34" s="481" t="str">
        <f t="shared" si="36"/>
        <v>Rendimientos Financieros cuentas de recaudo EPS - SSF</v>
      </c>
      <c r="BV34" s="482">
        <f t="shared" si="13"/>
        <v>2879576000</v>
      </c>
      <c r="BW34" s="479"/>
      <c r="BX34" s="479"/>
      <c r="BY34" s="479"/>
      <c r="BZ34" s="479"/>
      <c r="CA34" s="479"/>
      <c r="CB34" s="479"/>
      <c r="CC34" s="479"/>
    </row>
    <row r="35" spans="1:82" s="428" customFormat="1" ht="51" x14ac:dyDescent="0.25">
      <c r="A35" s="468">
        <v>11300</v>
      </c>
      <c r="B35" s="469" t="s">
        <v>4</v>
      </c>
      <c r="C35" s="470" t="s">
        <v>160</v>
      </c>
      <c r="D35" s="469" t="s">
        <v>145</v>
      </c>
      <c r="E35" s="470" t="s">
        <v>161</v>
      </c>
      <c r="F35" s="469" t="s">
        <v>162</v>
      </c>
      <c r="G35" s="471" t="s">
        <v>123</v>
      </c>
      <c r="H35" s="472">
        <v>1</v>
      </c>
      <c r="I35" s="470" t="s">
        <v>315</v>
      </c>
      <c r="J35" s="469" t="s">
        <v>181</v>
      </c>
      <c r="K35" s="753">
        <v>50000000000</v>
      </c>
      <c r="L35" s="508">
        <v>1.1702216070016065E-3</v>
      </c>
      <c r="M35" s="469" t="s">
        <v>46</v>
      </c>
      <c r="N35" s="469" t="s">
        <v>68</v>
      </c>
      <c r="O35" s="469" t="s">
        <v>21</v>
      </c>
      <c r="P35" s="469" t="s">
        <v>36</v>
      </c>
      <c r="Q35" s="469" t="s">
        <v>213</v>
      </c>
      <c r="R35" s="469" t="s">
        <v>182</v>
      </c>
      <c r="S35" s="469" t="s">
        <v>99</v>
      </c>
      <c r="T35" s="474">
        <v>1</v>
      </c>
      <c r="U35" s="475" t="str">
        <f t="shared" si="15"/>
        <v>Fortalecimientos Patrimonial a las Entidades del Sector salud</v>
      </c>
      <c r="V35" s="753">
        <f t="shared" si="37"/>
        <v>50000000000</v>
      </c>
      <c r="W35" s="477" t="s">
        <v>116</v>
      </c>
      <c r="X35" s="472">
        <v>0.25</v>
      </c>
      <c r="Y35" s="484" t="str">
        <f t="shared" si="33"/>
        <v>Fortalecimientos Patrimonial a las Entidades del Sector salud</v>
      </c>
      <c r="Z35" s="473">
        <v>12500000000</v>
      </c>
      <c r="AA35" s="559">
        <f t="shared" si="38"/>
        <v>0</v>
      </c>
      <c r="AB35" s="473">
        <v>0</v>
      </c>
      <c r="AC35" s="478">
        <f t="shared" si="17"/>
        <v>0</v>
      </c>
      <c r="AD35" s="478">
        <f t="shared" si="18"/>
        <v>0</v>
      </c>
      <c r="AE35" s="478">
        <f t="shared" si="19"/>
        <v>0</v>
      </c>
      <c r="AF35" s="478">
        <f t="shared" si="0"/>
        <v>0</v>
      </c>
      <c r="AG35" s="483"/>
      <c r="AH35" s="631">
        <v>0.25</v>
      </c>
      <c r="AI35" s="484" t="str">
        <f t="shared" si="34"/>
        <v>Fortalecimientos Patrimonial a las Entidades del Sector salud</v>
      </c>
      <c r="AJ35" s="635">
        <v>12500000000</v>
      </c>
      <c r="AK35" s="657">
        <f t="shared" si="35"/>
        <v>0</v>
      </c>
      <c r="AL35" s="616">
        <v>0</v>
      </c>
      <c r="AM35" s="478">
        <f t="shared" si="20"/>
        <v>0</v>
      </c>
      <c r="AN35" s="478">
        <f t="shared" si="1"/>
        <v>0</v>
      </c>
      <c r="AO35" s="478">
        <f t="shared" si="2"/>
        <v>0</v>
      </c>
      <c r="AP35" s="478">
        <f t="shared" si="3"/>
        <v>0</v>
      </c>
      <c r="AQ35" s="632"/>
      <c r="AR35" s="631">
        <v>0.25</v>
      </c>
      <c r="AS35" s="484" t="str">
        <f t="shared" si="31"/>
        <v>Fortalecimientos Patrimonial a las Entidades del Sector salud</v>
      </c>
      <c r="AT35" s="635">
        <v>12500000000</v>
      </c>
      <c r="AU35" s="479"/>
      <c r="AV35" s="479"/>
      <c r="AW35" s="478">
        <f t="shared" si="21"/>
        <v>0</v>
      </c>
      <c r="AX35" s="478">
        <f t="shared" si="22"/>
        <v>0</v>
      </c>
      <c r="AY35" s="478">
        <f t="shared" si="23"/>
        <v>0</v>
      </c>
      <c r="AZ35" s="478">
        <f t="shared" si="24"/>
        <v>0</v>
      </c>
      <c r="BA35" s="478"/>
      <c r="BB35" s="631">
        <v>0.25</v>
      </c>
      <c r="BC35" s="484" t="str">
        <f t="shared" si="32"/>
        <v>Fortalecimientos Patrimonial a las Entidades del Sector salud</v>
      </c>
      <c r="BD35" s="635">
        <v>12500000000</v>
      </c>
      <c r="BE35" s="479"/>
      <c r="BF35" s="479"/>
      <c r="BG35" s="472">
        <f t="shared" si="25"/>
        <v>0</v>
      </c>
      <c r="BH35" s="472">
        <f t="shared" si="26"/>
        <v>0</v>
      </c>
      <c r="BI35" s="472">
        <f t="shared" si="27"/>
        <v>0</v>
      </c>
      <c r="BJ35" s="472">
        <f t="shared" si="28"/>
        <v>0</v>
      </c>
      <c r="BK35" s="472"/>
      <c r="BL35" s="533">
        <f t="shared" si="6"/>
        <v>0</v>
      </c>
      <c r="BM35" s="533">
        <f t="shared" si="7"/>
        <v>0</v>
      </c>
      <c r="BN35" s="533">
        <f t="shared" si="8"/>
        <v>0</v>
      </c>
      <c r="BO35" s="533">
        <f t="shared" si="9"/>
        <v>0</v>
      </c>
      <c r="BP35" s="533">
        <f t="shared" si="29"/>
        <v>0</v>
      </c>
      <c r="BQ35" s="533">
        <f t="shared" si="30"/>
        <v>0</v>
      </c>
      <c r="BR35" s="533">
        <f t="shared" si="10"/>
        <v>0</v>
      </c>
      <c r="BS35" s="533">
        <f t="shared" si="11"/>
        <v>0</v>
      </c>
      <c r="BT35" s="480">
        <f t="shared" si="14"/>
        <v>0.58333333333333337</v>
      </c>
      <c r="BU35" s="481" t="str">
        <f t="shared" si="36"/>
        <v>Fortalecimientos Patrimonial a las Entidades del Sector salud</v>
      </c>
      <c r="BV35" s="482">
        <f t="shared" si="13"/>
        <v>29166666666.666668</v>
      </c>
      <c r="BW35" s="479"/>
      <c r="BX35" s="479"/>
      <c r="BY35" s="479"/>
      <c r="BZ35" s="479"/>
      <c r="CA35" s="479"/>
      <c r="CB35" s="479"/>
      <c r="CC35" s="479"/>
    </row>
    <row r="36" spans="1:82" s="428" customFormat="1" ht="75" x14ac:dyDescent="0.25">
      <c r="A36" s="468">
        <v>11300</v>
      </c>
      <c r="B36" s="469" t="s">
        <v>4</v>
      </c>
      <c r="C36" s="470" t="s">
        <v>160</v>
      </c>
      <c r="D36" s="469" t="s">
        <v>145</v>
      </c>
      <c r="E36" s="470" t="s">
        <v>578</v>
      </c>
      <c r="F36" s="469" t="s">
        <v>574</v>
      </c>
      <c r="G36" s="471" t="s">
        <v>124</v>
      </c>
      <c r="H36" s="470">
        <v>12</v>
      </c>
      <c r="I36" s="470" t="s">
        <v>579</v>
      </c>
      <c r="J36" s="469" t="s">
        <v>245</v>
      </c>
      <c r="K36" s="753">
        <v>61642068</v>
      </c>
      <c r="L36" s="474">
        <v>1</v>
      </c>
      <c r="M36" s="469" t="s">
        <v>46</v>
      </c>
      <c r="N36" s="469" t="s">
        <v>68</v>
      </c>
      <c r="O36" s="469" t="s">
        <v>21</v>
      </c>
      <c r="P36" s="469" t="s">
        <v>36</v>
      </c>
      <c r="Q36" s="469" t="s">
        <v>213</v>
      </c>
      <c r="R36" s="469" t="s">
        <v>626</v>
      </c>
      <c r="S36" s="469" t="s">
        <v>99</v>
      </c>
      <c r="T36" s="509">
        <v>12</v>
      </c>
      <c r="U36" s="475" t="str">
        <f t="shared" si="15"/>
        <v>Realizar Informes de Ejecución Presupuestal</v>
      </c>
      <c r="V36" s="753">
        <f t="shared" si="37"/>
        <v>61642068</v>
      </c>
      <c r="W36" s="477" t="s">
        <v>114</v>
      </c>
      <c r="X36" s="501">
        <v>3</v>
      </c>
      <c r="Y36" s="484" t="str">
        <f t="shared" si="33"/>
        <v>Realizar Informes de Ejecución Presupuestal</v>
      </c>
      <c r="Z36" s="473">
        <f>+V36*0.25</f>
        <v>15410517</v>
      </c>
      <c r="AA36" s="560">
        <v>3</v>
      </c>
      <c r="AB36" s="473">
        <v>7705259</v>
      </c>
      <c r="AC36" s="478">
        <f t="shared" si="17"/>
        <v>1</v>
      </c>
      <c r="AD36" s="478">
        <f t="shared" si="18"/>
        <v>0.50000003244537483</v>
      </c>
      <c r="AE36" s="478">
        <f t="shared" si="19"/>
        <v>0.25</v>
      </c>
      <c r="AF36" s="478">
        <f t="shared" si="0"/>
        <v>0.12500000811134371</v>
      </c>
      <c r="AG36" s="483" t="s">
        <v>884</v>
      </c>
      <c r="AH36" s="754">
        <v>3</v>
      </c>
      <c r="AI36" s="484" t="str">
        <f t="shared" si="34"/>
        <v>Realizar Informes de Ejecución Presupuestal</v>
      </c>
      <c r="AJ36" s="753">
        <v>15410517</v>
      </c>
      <c r="AK36" s="752">
        <f t="shared" si="35"/>
        <v>3</v>
      </c>
      <c r="AL36" s="616">
        <v>15410517</v>
      </c>
      <c r="AM36" s="478">
        <f t="shared" si="20"/>
        <v>1</v>
      </c>
      <c r="AN36" s="478">
        <f t="shared" si="1"/>
        <v>1</v>
      </c>
      <c r="AO36" s="478">
        <f t="shared" si="2"/>
        <v>0.5</v>
      </c>
      <c r="AP36" s="478">
        <f t="shared" si="3"/>
        <v>0.37500000811134371</v>
      </c>
      <c r="AQ36" s="636"/>
      <c r="AR36" s="754">
        <v>3</v>
      </c>
      <c r="AS36" s="484" t="str">
        <f t="shared" si="31"/>
        <v>Realizar Informes de Ejecución Presupuestal</v>
      </c>
      <c r="AT36" s="696">
        <v>15410517</v>
      </c>
      <c r="AU36" s="479"/>
      <c r="AV36" s="479"/>
      <c r="AW36" s="478">
        <f t="shared" si="21"/>
        <v>0</v>
      </c>
      <c r="AX36" s="478">
        <f t="shared" si="22"/>
        <v>0</v>
      </c>
      <c r="AY36" s="478">
        <f t="shared" si="23"/>
        <v>0.5</v>
      </c>
      <c r="AZ36" s="478">
        <f t="shared" si="24"/>
        <v>0.37500000811134371</v>
      </c>
      <c r="BA36" s="478"/>
      <c r="BB36" s="754">
        <v>3</v>
      </c>
      <c r="BC36" s="484" t="str">
        <f t="shared" si="32"/>
        <v>Realizar Informes de Ejecución Presupuestal</v>
      </c>
      <c r="BD36" s="635">
        <v>15410517</v>
      </c>
      <c r="BE36" s="479"/>
      <c r="BF36" s="479"/>
      <c r="BG36" s="472">
        <f t="shared" si="25"/>
        <v>0</v>
      </c>
      <c r="BH36" s="472">
        <f t="shared" si="26"/>
        <v>0</v>
      </c>
      <c r="BI36" s="472">
        <f t="shared" si="27"/>
        <v>0.5</v>
      </c>
      <c r="BJ36" s="472">
        <f t="shared" si="28"/>
        <v>0.37500000811134371</v>
      </c>
      <c r="BK36" s="472"/>
      <c r="BL36" s="533">
        <f t="shared" si="6"/>
        <v>1</v>
      </c>
      <c r="BM36" s="533">
        <f t="shared" si="7"/>
        <v>0.50000003244537483</v>
      </c>
      <c r="BN36" s="533">
        <f t="shared" si="8"/>
        <v>1</v>
      </c>
      <c r="BO36" s="533">
        <f t="shared" si="9"/>
        <v>1</v>
      </c>
      <c r="BP36" s="533">
        <f t="shared" si="29"/>
        <v>0</v>
      </c>
      <c r="BQ36" s="533">
        <f t="shared" si="30"/>
        <v>0</v>
      </c>
      <c r="BR36" s="533">
        <f t="shared" si="10"/>
        <v>0</v>
      </c>
      <c r="BS36" s="533">
        <f t="shared" si="11"/>
        <v>0</v>
      </c>
      <c r="BT36" s="507">
        <f t="shared" si="14"/>
        <v>7</v>
      </c>
      <c r="BU36" s="481" t="str">
        <f t="shared" si="36"/>
        <v>Realizar Informes de Ejecución Presupuestal</v>
      </c>
      <c r="BV36" s="482">
        <f t="shared" si="13"/>
        <v>35957873</v>
      </c>
      <c r="BW36" s="479"/>
      <c r="BX36" s="479"/>
      <c r="BY36" s="479"/>
      <c r="BZ36" s="479"/>
      <c r="CA36" s="479"/>
      <c r="CB36" s="479"/>
      <c r="CC36" s="479"/>
      <c r="CD36" s="922" t="s">
        <v>1209</v>
      </c>
    </row>
    <row r="37" spans="1:82" s="428" customFormat="1" ht="140.25" x14ac:dyDescent="0.25">
      <c r="A37" s="468">
        <v>11300</v>
      </c>
      <c r="B37" s="469" t="s">
        <v>4</v>
      </c>
      <c r="C37" s="470" t="s">
        <v>160</v>
      </c>
      <c r="D37" s="469" t="s">
        <v>145</v>
      </c>
      <c r="E37" s="470" t="s">
        <v>580</v>
      </c>
      <c r="F37" s="469" t="s">
        <v>246</v>
      </c>
      <c r="G37" s="471" t="s">
        <v>123</v>
      </c>
      <c r="H37" s="474">
        <v>1</v>
      </c>
      <c r="I37" s="470" t="s">
        <v>581</v>
      </c>
      <c r="J37" s="469" t="s">
        <v>247</v>
      </c>
      <c r="K37" s="473">
        <v>243106560</v>
      </c>
      <c r="L37" s="474">
        <v>1</v>
      </c>
      <c r="M37" s="469" t="s">
        <v>46</v>
      </c>
      <c r="N37" s="469" t="s">
        <v>68</v>
      </c>
      <c r="O37" s="469" t="s">
        <v>21</v>
      </c>
      <c r="P37" s="469" t="s">
        <v>36</v>
      </c>
      <c r="Q37" s="469" t="s">
        <v>214</v>
      </c>
      <c r="R37" s="469" t="s">
        <v>594</v>
      </c>
      <c r="S37" s="469" t="s">
        <v>99</v>
      </c>
      <c r="T37" s="474">
        <v>1</v>
      </c>
      <c r="U37" s="475" t="str">
        <f t="shared" si="15"/>
        <v>Seguimiento e identificación del Recaudo</v>
      </c>
      <c r="V37" s="476">
        <f t="shared" si="16"/>
        <v>243106560</v>
      </c>
      <c r="W37" s="477" t="s">
        <v>114</v>
      </c>
      <c r="X37" s="472">
        <v>0.25</v>
      </c>
      <c r="Y37" s="484" t="str">
        <f t="shared" si="33"/>
        <v>Seguimiento e identificación del Recaudo</v>
      </c>
      <c r="Z37" s="473">
        <v>60776640</v>
      </c>
      <c r="AA37" s="472">
        <f>(96011/96133)*0.25</f>
        <v>0.24968273121612766</v>
      </c>
      <c r="AB37" s="473">
        <v>52114979</v>
      </c>
      <c r="AC37" s="478">
        <f t="shared" si="17"/>
        <v>0.99873092486451065</v>
      </c>
      <c r="AD37" s="478">
        <f t="shared" si="18"/>
        <v>0.8574837141375371</v>
      </c>
      <c r="AE37" s="478">
        <f t="shared" si="19"/>
        <v>0.24968273121612766</v>
      </c>
      <c r="AF37" s="478">
        <f t="shared" si="0"/>
        <v>0.21437092853438428</v>
      </c>
      <c r="AG37" s="483" t="s">
        <v>905</v>
      </c>
      <c r="AH37" s="472">
        <v>0.25</v>
      </c>
      <c r="AI37" s="484" t="str">
        <f t="shared" si="34"/>
        <v>Seguimiento e identificación del Recaudo</v>
      </c>
      <c r="AJ37" s="473">
        <v>60776640</v>
      </c>
      <c r="AK37" s="645">
        <v>0.24979999999999999</v>
      </c>
      <c r="AL37" s="616">
        <v>60776640</v>
      </c>
      <c r="AM37" s="478">
        <f t="shared" si="20"/>
        <v>0.99919999999999998</v>
      </c>
      <c r="AN37" s="478">
        <f t="shared" si="1"/>
        <v>1</v>
      </c>
      <c r="AO37" s="478">
        <f t="shared" si="2"/>
        <v>0.49948273121612763</v>
      </c>
      <c r="AP37" s="478">
        <f t="shared" si="3"/>
        <v>0.46437092853438428</v>
      </c>
      <c r="AQ37" s="650" t="s">
        <v>1047</v>
      </c>
      <c r="AR37" s="472">
        <v>0.25</v>
      </c>
      <c r="AS37" s="484" t="str">
        <f t="shared" si="31"/>
        <v>Seguimiento e identificación del Recaudo</v>
      </c>
      <c r="AT37" s="473">
        <v>60776640</v>
      </c>
      <c r="AU37" s="479"/>
      <c r="AV37" s="479"/>
      <c r="AW37" s="478">
        <f t="shared" si="21"/>
        <v>0</v>
      </c>
      <c r="AX37" s="478">
        <f t="shared" si="22"/>
        <v>0</v>
      </c>
      <c r="AY37" s="478">
        <f t="shared" si="23"/>
        <v>0.49948273121612763</v>
      </c>
      <c r="AZ37" s="478">
        <f t="shared" si="24"/>
        <v>0.46437092853438428</v>
      </c>
      <c r="BA37" s="478"/>
      <c r="BB37" s="472">
        <v>0.25</v>
      </c>
      <c r="BC37" s="484" t="str">
        <f t="shared" si="32"/>
        <v>Seguimiento e identificación del Recaudo</v>
      </c>
      <c r="BD37" s="473">
        <v>60776640</v>
      </c>
      <c r="BE37" s="479"/>
      <c r="BF37" s="479"/>
      <c r="BG37" s="472">
        <f t="shared" si="25"/>
        <v>0</v>
      </c>
      <c r="BH37" s="472">
        <f t="shared" si="26"/>
        <v>0</v>
      </c>
      <c r="BI37" s="472">
        <f t="shared" si="27"/>
        <v>0.49948273121612763</v>
      </c>
      <c r="BJ37" s="472">
        <f t="shared" si="28"/>
        <v>0.46437092853438428</v>
      </c>
      <c r="BK37" s="472"/>
      <c r="BL37" s="533">
        <f t="shared" si="6"/>
        <v>0.99873092486451065</v>
      </c>
      <c r="BM37" s="533">
        <f t="shared" si="7"/>
        <v>0.8574837141375371</v>
      </c>
      <c r="BN37" s="533">
        <f t="shared" si="8"/>
        <v>0.99919999999999998</v>
      </c>
      <c r="BO37" s="533">
        <f t="shared" si="9"/>
        <v>1</v>
      </c>
      <c r="BP37" s="533">
        <f t="shared" si="29"/>
        <v>0</v>
      </c>
      <c r="BQ37" s="533">
        <f t="shared" si="30"/>
        <v>0</v>
      </c>
      <c r="BR37" s="533">
        <f t="shared" si="10"/>
        <v>0</v>
      </c>
      <c r="BS37" s="533">
        <f t="shared" si="11"/>
        <v>0</v>
      </c>
      <c r="BT37" s="480">
        <f t="shared" si="14"/>
        <v>0.58333333333333337</v>
      </c>
      <c r="BU37" s="481" t="str">
        <f t="shared" si="36"/>
        <v>Seguimiento e identificación del Recaudo</v>
      </c>
      <c r="BV37" s="482">
        <f t="shared" si="13"/>
        <v>141812160</v>
      </c>
      <c r="BW37" s="479"/>
      <c r="BX37" s="479"/>
      <c r="BY37" s="479"/>
      <c r="BZ37" s="479"/>
      <c r="CA37" s="479"/>
      <c r="CB37" s="479"/>
      <c r="CC37" s="479"/>
      <c r="CD37" s="922" t="s">
        <v>1210</v>
      </c>
    </row>
    <row r="38" spans="1:82" s="428" customFormat="1" ht="76.5" x14ac:dyDescent="0.25">
      <c r="A38" s="468">
        <v>11300</v>
      </c>
      <c r="B38" s="469" t="s">
        <v>4</v>
      </c>
      <c r="C38" s="470" t="s">
        <v>160</v>
      </c>
      <c r="D38" s="469" t="s">
        <v>145</v>
      </c>
      <c r="E38" s="470" t="s">
        <v>580</v>
      </c>
      <c r="F38" s="469" t="s">
        <v>246</v>
      </c>
      <c r="G38" s="471" t="s">
        <v>124</v>
      </c>
      <c r="H38" s="502">
        <v>12</v>
      </c>
      <c r="I38" s="470" t="s">
        <v>582</v>
      </c>
      <c r="J38" s="469" t="s">
        <v>575</v>
      </c>
      <c r="K38" s="473">
        <v>0</v>
      </c>
      <c r="L38" s="510">
        <v>1</v>
      </c>
      <c r="M38" s="469" t="s">
        <v>46</v>
      </c>
      <c r="N38" s="469" t="s">
        <v>68</v>
      </c>
      <c r="O38" s="469" t="s">
        <v>21</v>
      </c>
      <c r="P38" s="469" t="s">
        <v>36</v>
      </c>
      <c r="Q38" s="469" t="s">
        <v>214</v>
      </c>
      <c r="R38" s="469" t="s">
        <v>631</v>
      </c>
      <c r="S38" s="469" t="s">
        <v>99</v>
      </c>
      <c r="T38" s="509">
        <v>12</v>
      </c>
      <c r="U38" s="475" t="str">
        <f t="shared" si="15"/>
        <v>Informe Mensual de Recaudo Efectivo</v>
      </c>
      <c r="V38" s="476">
        <f t="shared" si="16"/>
        <v>0</v>
      </c>
      <c r="W38" s="477" t="s">
        <v>117</v>
      </c>
      <c r="X38" s="501">
        <v>3</v>
      </c>
      <c r="Y38" s="484" t="str">
        <f t="shared" si="33"/>
        <v>Informe Mensual de Recaudo Efectivo</v>
      </c>
      <c r="Z38" s="473">
        <v>0</v>
      </c>
      <c r="AA38" s="501">
        <v>3</v>
      </c>
      <c r="AB38" s="473">
        <v>0</v>
      </c>
      <c r="AC38" s="478">
        <f t="shared" si="17"/>
        <v>1</v>
      </c>
      <c r="AD38" s="478" t="e">
        <f t="shared" si="18"/>
        <v>#DIV/0!</v>
      </c>
      <c r="AE38" s="478">
        <f t="shared" si="19"/>
        <v>0.25</v>
      </c>
      <c r="AF38" s="478" t="e">
        <f t="shared" si="0"/>
        <v>#DIV/0!</v>
      </c>
      <c r="AG38" s="483" t="s">
        <v>906</v>
      </c>
      <c r="AH38" s="501">
        <v>3</v>
      </c>
      <c r="AI38" s="484" t="str">
        <f t="shared" si="34"/>
        <v>Informe Mensual de Recaudo Efectivo</v>
      </c>
      <c r="AJ38" s="473">
        <v>0</v>
      </c>
      <c r="AK38" s="649">
        <v>3</v>
      </c>
      <c r="AL38" s="616">
        <v>0</v>
      </c>
      <c r="AM38" s="478">
        <f t="shared" si="20"/>
        <v>1</v>
      </c>
      <c r="AN38" s="478" t="e">
        <f t="shared" si="1"/>
        <v>#DIV/0!</v>
      </c>
      <c r="AO38" s="478">
        <f t="shared" si="2"/>
        <v>0.5</v>
      </c>
      <c r="AP38" s="478" t="e">
        <f t="shared" si="3"/>
        <v>#DIV/0!</v>
      </c>
      <c r="AQ38" s="636" t="s">
        <v>1048</v>
      </c>
      <c r="AR38" s="501">
        <v>3</v>
      </c>
      <c r="AS38" s="484" t="str">
        <f t="shared" si="31"/>
        <v>Informe Mensual de Recaudo Efectivo</v>
      </c>
      <c r="AT38" s="473">
        <v>0</v>
      </c>
      <c r="AU38" s="479"/>
      <c r="AV38" s="479"/>
      <c r="AW38" s="478">
        <f t="shared" si="21"/>
        <v>0</v>
      </c>
      <c r="AX38" s="478" t="e">
        <f t="shared" si="22"/>
        <v>#DIV/0!</v>
      </c>
      <c r="AY38" s="478">
        <f t="shared" si="23"/>
        <v>0.5</v>
      </c>
      <c r="AZ38" s="478" t="e">
        <f t="shared" si="24"/>
        <v>#DIV/0!</v>
      </c>
      <c r="BA38" s="478"/>
      <c r="BB38" s="501">
        <v>3</v>
      </c>
      <c r="BC38" s="484" t="str">
        <f t="shared" si="32"/>
        <v>Informe Mensual de Recaudo Efectivo</v>
      </c>
      <c r="BD38" s="473">
        <v>0</v>
      </c>
      <c r="BE38" s="479"/>
      <c r="BF38" s="479"/>
      <c r="BG38" s="472">
        <f t="shared" si="25"/>
        <v>0</v>
      </c>
      <c r="BH38" s="472" t="e">
        <f t="shared" si="26"/>
        <v>#DIV/0!</v>
      </c>
      <c r="BI38" s="472">
        <f t="shared" si="27"/>
        <v>0.5</v>
      </c>
      <c r="BJ38" s="472" t="e">
        <f t="shared" si="28"/>
        <v>#DIV/0!</v>
      </c>
      <c r="BK38" s="472"/>
      <c r="BL38" s="533">
        <f t="shared" si="6"/>
        <v>1</v>
      </c>
      <c r="BM38" s="533" t="str">
        <f t="shared" si="7"/>
        <v>No Prog ni Ejec</v>
      </c>
      <c r="BN38" s="533">
        <f t="shared" si="8"/>
        <v>1</v>
      </c>
      <c r="BO38" s="533" t="str">
        <f t="shared" si="9"/>
        <v>No Prog ni Ejec</v>
      </c>
      <c r="BP38" s="533">
        <f t="shared" si="29"/>
        <v>0</v>
      </c>
      <c r="BQ38" s="533" t="str">
        <f t="shared" si="30"/>
        <v>No Prog ni Ejec</v>
      </c>
      <c r="BR38" s="533">
        <f t="shared" si="10"/>
        <v>0</v>
      </c>
      <c r="BS38" s="533" t="str">
        <f t="shared" si="11"/>
        <v>No Prog ni Ejec</v>
      </c>
      <c r="BT38" s="507">
        <f t="shared" si="14"/>
        <v>7</v>
      </c>
      <c r="BU38" s="481" t="str">
        <f t="shared" si="36"/>
        <v>Informe Mensual de Recaudo Efectivo</v>
      </c>
      <c r="BV38" s="482">
        <f t="shared" si="13"/>
        <v>0</v>
      </c>
      <c r="BW38" s="479"/>
      <c r="BX38" s="479"/>
      <c r="BY38" s="479"/>
      <c r="BZ38" s="479"/>
      <c r="CA38" s="479"/>
      <c r="CB38" s="479"/>
      <c r="CC38" s="479"/>
    </row>
    <row r="39" spans="1:82" s="428" customFormat="1" ht="63.75" x14ac:dyDescent="0.25">
      <c r="A39" s="468">
        <v>11300</v>
      </c>
      <c r="B39" s="469" t="s">
        <v>4</v>
      </c>
      <c r="C39" s="470" t="s">
        <v>160</v>
      </c>
      <c r="D39" s="469" t="s">
        <v>145</v>
      </c>
      <c r="E39" s="470" t="s">
        <v>580</v>
      </c>
      <c r="F39" s="469" t="s">
        <v>246</v>
      </c>
      <c r="G39" s="471" t="s">
        <v>123</v>
      </c>
      <c r="H39" s="474">
        <v>1</v>
      </c>
      <c r="I39" s="470" t="s">
        <v>583</v>
      </c>
      <c r="J39" s="469" t="s">
        <v>248</v>
      </c>
      <c r="K39" s="473">
        <v>0</v>
      </c>
      <c r="L39" s="474">
        <v>1</v>
      </c>
      <c r="M39" s="469" t="s">
        <v>46</v>
      </c>
      <c r="N39" s="469" t="s">
        <v>68</v>
      </c>
      <c r="O39" s="469" t="s">
        <v>21</v>
      </c>
      <c r="P39" s="469" t="s">
        <v>36</v>
      </c>
      <c r="Q39" s="469" t="s">
        <v>214</v>
      </c>
      <c r="R39" s="469" t="s">
        <v>249</v>
      </c>
      <c r="S39" s="469" t="s">
        <v>99</v>
      </c>
      <c r="T39" s="474">
        <v>1</v>
      </c>
      <c r="U39" s="475" t="str">
        <f t="shared" si="15"/>
        <v>Seguimiento a Partidas Sin Identificar</v>
      </c>
      <c r="V39" s="476">
        <f t="shared" si="16"/>
        <v>0</v>
      </c>
      <c r="W39" s="477" t="s">
        <v>117</v>
      </c>
      <c r="X39" s="472">
        <v>0.25</v>
      </c>
      <c r="Y39" s="484" t="str">
        <f t="shared" si="33"/>
        <v>Seguimiento a Partidas Sin Identificar</v>
      </c>
      <c r="Z39" s="473">
        <v>0</v>
      </c>
      <c r="AA39" s="472">
        <f>+(8869173118.39/10815134235.05)*25%</f>
        <v>0.20501763837675097</v>
      </c>
      <c r="AB39" s="473">
        <v>0</v>
      </c>
      <c r="AC39" s="478">
        <f t="shared" si="17"/>
        <v>0.82007055350700386</v>
      </c>
      <c r="AD39" s="478" t="e">
        <f t="shared" si="18"/>
        <v>#DIV/0!</v>
      </c>
      <c r="AE39" s="478">
        <f t="shared" si="19"/>
        <v>0.20501763837675097</v>
      </c>
      <c r="AF39" s="478" t="e">
        <f t="shared" si="0"/>
        <v>#DIV/0!</v>
      </c>
      <c r="AG39" s="483" t="s">
        <v>907</v>
      </c>
      <c r="AH39" s="472">
        <v>0.25</v>
      </c>
      <c r="AI39" s="484" t="str">
        <f t="shared" si="34"/>
        <v>Seguimiento a Partidas Sin Identificar</v>
      </c>
      <c r="AJ39" s="473">
        <v>0</v>
      </c>
      <c r="AK39" s="645">
        <v>0.19</v>
      </c>
      <c r="AL39" s="648">
        <v>0</v>
      </c>
      <c r="AM39" s="478">
        <f t="shared" si="20"/>
        <v>0.76</v>
      </c>
      <c r="AN39" s="478" t="e">
        <f t="shared" si="1"/>
        <v>#DIV/0!</v>
      </c>
      <c r="AO39" s="478">
        <f t="shared" si="2"/>
        <v>0.39501763837675097</v>
      </c>
      <c r="AP39" s="478" t="e">
        <f t="shared" si="3"/>
        <v>#DIV/0!</v>
      </c>
      <c r="AQ39" s="632"/>
      <c r="AR39" s="472">
        <v>0.25</v>
      </c>
      <c r="AS39" s="484" t="str">
        <f t="shared" si="31"/>
        <v>Seguimiento a Partidas Sin Identificar</v>
      </c>
      <c r="AT39" s="473">
        <v>0</v>
      </c>
      <c r="AU39" s="479"/>
      <c r="AV39" s="479"/>
      <c r="AW39" s="478">
        <f t="shared" si="21"/>
        <v>0</v>
      </c>
      <c r="AX39" s="478" t="e">
        <f t="shared" si="22"/>
        <v>#DIV/0!</v>
      </c>
      <c r="AY39" s="478">
        <f t="shared" si="23"/>
        <v>0.39501763837675097</v>
      </c>
      <c r="AZ39" s="478" t="e">
        <f t="shared" si="24"/>
        <v>#DIV/0!</v>
      </c>
      <c r="BA39" s="478"/>
      <c r="BB39" s="472">
        <v>0.25</v>
      </c>
      <c r="BC39" s="484" t="str">
        <f t="shared" si="32"/>
        <v>Seguimiento a Partidas Sin Identificar</v>
      </c>
      <c r="BD39" s="473">
        <v>0</v>
      </c>
      <c r="BE39" s="479"/>
      <c r="BF39" s="479"/>
      <c r="BG39" s="472">
        <f t="shared" si="25"/>
        <v>0</v>
      </c>
      <c r="BH39" s="472" t="e">
        <f t="shared" si="26"/>
        <v>#DIV/0!</v>
      </c>
      <c r="BI39" s="472">
        <f t="shared" si="27"/>
        <v>0.39501763837675097</v>
      </c>
      <c r="BJ39" s="472" t="e">
        <f t="shared" si="28"/>
        <v>#DIV/0!</v>
      </c>
      <c r="BK39" s="472"/>
      <c r="BL39" s="533">
        <f t="shared" si="6"/>
        <v>0.82007055350700386</v>
      </c>
      <c r="BM39" s="533" t="str">
        <f t="shared" si="7"/>
        <v>No Prog ni Ejec</v>
      </c>
      <c r="BN39" s="533">
        <f t="shared" si="8"/>
        <v>0.76</v>
      </c>
      <c r="BO39" s="533" t="str">
        <f t="shared" si="9"/>
        <v>No Prog ni Ejec</v>
      </c>
      <c r="BP39" s="533">
        <f t="shared" si="29"/>
        <v>0</v>
      </c>
      <c r="BQ39" s="533" t="str">
        <f t="shared" si="30"/>
        <v>No Prog ni Ejec</v>
      </c>
      <c r="BR39" s="533">
        <f t="shared" si="10"/>
        <v>0</v>
      </c>
      <c r="BS39" s="533" t="str">
        <f t="shared" si="11"/>
        <v>No Prog ni Ejec</v>
      </c>
      <c r="BT39" s="480">
        <f t="shared" si="14"/>
        <v>0.58333333333333337</v>
      </c>
      <c r="BU39" s="481" t="str">
        <f t="shared" si="36"/>
        <v>Seguimiento a Partidas Sin Identificar</v>
      </c>
      <c r="BV39" s="482">
        <f t="shared" si="13"/>
        <v>0</v>
      </c>
      <c r="BW39" s="479"/>
      <c r="BX39" s="479"/>
      <c r="BY39" s="479"/>
      <c r="BZ39" s="479"/>
      <c r="CA39" s="479"/>
      <c r="CB39" s="479"/>
      <c r="CC39" s="479"/>
    </row>
    <row r="40" spans="1:82" s="428" customFormat="1" ht="90" x14ac:dyDescent="0.25">
      <c r="A40" s="468">
        <v>11300</v>
      </c>
      <c r="B40" s="469" t="s">
        <v>4</v>
      </c>
      <c r="C40" s="470" t="s">
        <v>160</v>
      </c>
      <c r="D40" s="469" t="s">
        <v>145</v>
      </c>
      <c r="E40" s="470" t="s">
        <v>584</v>
      </c>
      <c r="F40" s="469" t="s">
        <v>251</v>
      </c>
      <c r="G40" s="471" t="s">
        <v>123</v>
      </c>
      <c r="H40" s="474">
        <v>1</v>
      </c>
      <c r="I40" s="470" t="s">
        <v>585</v>
      </c>
      <c r="J40" s="469" t="s">
        <v>250</v>
      </c>
      <c r="K40" s="473">
        <v>292066560</v>
      </c>
      <c r="L40" s="474">
        <v>1</v>
      </c>
      <c r="M40" s="469" t="s">
        <v>46</v>
      </c>
      <c r="N40" s="469" t="s">
        <v>68</v>
      </c>
      <c r="O40" s="469" t="s">
        <v>21</v>
      </c>
      <c r="P40" s="469" t="s">
        <v>36</v>
      </c>
      <c r="Q40" s="469" t="s">
        <v>215</v>
      </c>
      <c r="R40" s="469" t="s">
        <v>595</v>
      </c>
      <c r="S40" s="469" t="s">
        <v>99</v>
      </c>
      <c r="T40" s="472">
        <v>1</v>
      </c>
      <c r="U40" s="475" t="str">
        <f t="shared" si="15"/>
        <v>Ordenes de Giros tramitadas</v>
      </c>
      <c r="V40" s="476">
        <f t="shared" si="16"/>
        <v>292066560</v>
      </c>
      <c r="W40" s="477" t="s">
        <v>114</v>
      </c>
      <c r="X40" s="472">
        <v>0.25</v>
      </c>
      <c r="Y40" s="484" t="str">
        <f t="shared" si="33"/>
        <v>Ordenes de Giros tramitadas</v>
      </c>
      <c r="Z40" s="473">
        <v>73016640</v>
      </c>
      <c r="AA40" s="472">
        <f>(1319/1319)*25%</f>
        <v>0.25</v>
      </c>
      <c r="AB40" s="473">
        <v>63795769</v>
      </c>
      <c r="AC40" s="478">
        <f t="shared" si="17"/>
        <v>1</v>
      </c>
      <c r="AD40" s="478">
        <f t="shared" si="18"/>
        <v>0.87371548457995329</v>
      </c>
      <c r="AE40" s="478">
        <f t="shared" si="19"/>
        <v>0.25</v>
      </c>
      <c r="AF40" s="478">
        <f t="shared" si="0"/>
        <v>0.21842887114498832</v>
      </c>
      <c r="AG40" s="478"/>
      <c r="AH40" s="472">
        <v>0.25</v>
      </c>
      <c r="AI40" s="484" t="str">
        <f t="shared" si="34"/>
        <v>Ordenes de Giros tramitadas</v>
      </c>
      <c r="AJ40" s="473">
        <v>73016640</v>
      </c>
      <c r="AK40" s="645">
        <f>(1387/1387)*25%</f>
        <v>0.25</v>
      </c>
      <c r="AL40" s="616">
        <v>73016640</v>
      </c>
      <c r="AM40" s="478">
        <f t="shared" si="20"/>
        <v>1</v>
      </c>
      <c r="AN40" s="478">
        <f t="shared" si="1"/>
        <v>1</v>
      </c>
      <c r="AO40" s="478">
        <f t="shared" si="2"/>
        <v>0.5</v>
      </c>
      <c r="AP40" s="478">
        <f t="shared" si="3"/>
        <v>0.46842887114498832</v>
      </c>
      <c r="AQ40" s="478"/>
      <c r="AR40" s="472">
        <v>0.25</v>
      </c>
      <c r="AS40" s="484" t="str">
        <f t="shared" si="31"/>
        <v>Ordenes de Giros tramitadas</v>
      </c>
      <c r="AT40" s="473">
        <v>73016640</v>
      </c>
      <c r="AU40" s="479"/>
      <c r="AV40" s="479"/>
      <c r="AW40" s="478">
        <f t="shared" si="21"/>
        <v>0</v>
      </c>
      <c r="AX40" s="478">
        <f t="shared" si="22"/>
        <v>0</v>
      </c>
      <c r="AY40" s="478">
        <f t="shared" si="23"/>
        <v>0.5</v>
      </c>
      <c r="AZ40" s="478">
        <f t="shared" si="24"/>
        <v>0.46842887114498832</v>
      </c>
      <c r="BA40" s="478"/>
      <c r="BB40" s="472">
        <v>0.25</v>
      </c>
      <c r="BC40" s="484" t="str">
        <f t="shared" si="32"/>
        <v>Ordenes de Giros tramitadas</v>
      </c>
      <c r="BD40" s="473">
        <v>73016640</v>
      </c>
      <c r="BE40" s="479"/>
      <c r="BF40" s="479"/>
      <c r="BG40" s="472">
        <f t="shared" si="25"/>
        <v>0</v>
      </c>
      <c r="BH40" s="472">
        <f t="shared" si="26"/>
        <v>0</v>
      </c>
      <c r="BI40" s="472">
        <f t="shared" si="27"/>
        <v>0.5</v>
      </c>
      <c r="BJ40" s="472">
        <f t="shared" si="28"/>
        <v>0.46842887114498832</v>
      </c>
      <c r="BK40" s="472"/>
      <c r="BL40" s="533">
        <f t="shared" si="6"/>
        <v>1</v>
      </c>
      <c r="BM40" s="533">
        <f t="shared" si="7"/>
        <v>0.87371548457995329</v>
      </c>
      <c r="BN40" s="533">
        <f t="shared" si="8"/>
        <v>1</v>
      </c>
      <c r="BO40" s="533">
        <f t="shared" si="9"/>
        <v>1</v>
      </c>
      <c r="BP40" s="533">
        <f t="shared" si="29"/>
        <v>0</v>
      </c>
      <c r="BQ40" s="533">
        <f t="shared" si="30"/>
        <v>0</v>
      </c>
      <c r="BR40" s="533">
        <f t="shared" si="10"/>
        <v>0</v>
      </c>
      <c r="BS40" s="533">
        <f t="shared" si="11"/>
        <v>0</v>
      </c>
      <c r="BT40" s="480">
        <f t="shared" si="14"/>
        <v>0.58333333333333337</v>
      </c>
      <c r="BU40" s="481" t="str">
        <f t="shared" si="36"/>
        <v>Ordenes de Giros tramitadas</v>
      </c>
      <c r="BV40" s="482">
        <f t="shared" si="13"/>
        <v>170372160</v>
      </c>
      <c r="BW40" s="479"/>
      <c r="BX40" s="479"/>
      <c r="BY40" s="479"/>
      <c r="BZ40" s="479"/>
      <c r="CA40" s="479"/>
      <c r="CB40" s="479"/>
      <c r="CC40" s="479"/>
      <c r="CD40" s="922" t="s">
        <v>1211</v>
      </c>
    </row>
    <row r="41" spans="1:82" s="428" customFormat="1" ht="75" x14ac:dyDescent="0.25">
      <c r="A41" s="468">
        <v>11300</v>
      </c>
      <c r="B41" s="469" t="s">
        <v>4</v>
      </c>
      <c r="C41" s="470" t="s">
        <v>160</v>
      </c>
      <c r="D41" s="469" t="s">
        <v>145</v>
      </c>
      <c r="E41" s="470" t="s">
        <v>586</v>
      </c>
      <c r="F41" s="469" t="s">
        <v>252</v>
      </c>
      <c r="G41" s="471" t="s">
        <v>123</v>
      </c>
      <c r="H41" s="474">
        <v>1</v>
      </c>
      <c r="I41" s="470" t="s">
        <v>587</v>
      </c>
      <c r="J41" s="469" t="s">
        <v>946</v>
      </c>
      <c r="K41" s="473">
        <v>48960000</v>
      </c>
      <c r="L41" s="474">
        <v>1</v>
      </c>
      <c r="M41" s="469" t="s">
        <v>46</v>
      </c>
      <c r="N41" s="469" t="s">
        <v>68</v>
      </c>
      <c r="O41" s="469" t="s">
        <v>21</v>
      </c>
      <c r="P41" s="469" t="s">
        <v>36</v>
      </c>
      <c r="Q41" s="469" t="s">
        <v>215</v>
      </c>
      <c r="R41" s="469" t="s">
        <v>596</v>
      </c>
      <c r="S41" s="469" t="s">
        <v>99</v>
      </c>
      <c r="T41" s="472">
        <v>1</v>
      </c>
      <c r="U41" s="475" t="str">
        <f t="shared" si="15"/>
        <v>Informes</v>
      </c>
      <c r="V41" s="476">
        <f t="shared" si="16"/>
        <v>48960000</v>
      </c>
      <c r="W41" s="477" t="s">
        <v>114</v>
      </c>
      <c r="X41" s="472">
        <v>0.25</v>
      </c>
      <c r="Y41" s="484" t="str">
        <f t="shared" si="33"/>
        <v>Informes</v>
      </c>
      <c r="Z41" s="473">
        <v>12240000</v>
      </c>
      <c r="AA41" s="556">
        <f>(60/60)*25%</f>
        <v>0.25</v>
      </c>
      <c r="AB41" s="473">
        <v>10744000</v>
      </c>
      <c r="AC41" s="478">
        <f t="shared" si="17"/>
        <v>1</v>
      </c>
      <c r="AD41" s="478">
        <f t="shared" si="18"/>
        <v>0.87777777777777777</v>
      </c>
      <c r="AE41" s="478">
        <f t="shared" si="19"/>
        <v>0.25</v>
      </c>
      <c r="AF41" s="478">
        <f t="shared" si="0"/>
        <v>0.21944444444444444</v>
      </c>
      <c r="AG41" s="478"/>
      <c r="AH41" s="472">
        <v>0.25</v>
      </c>
      <c r="AI41" s="484" t="str">
        <f t="shared" si="34"/>
        <v>Informes</v>
      </c>
      <c r="AJ41" s="473">
        <v>12240000</v>
      </c>
      <c r="AK41" s="617">
        <f>(61/61)*25%</f>
        <v>0.25</v>
      </c>
      <c r="AL41" s="616">
        <v>12240000</v>
      </c>
      <c r="AM41" s="478">
        <f t="shared" si="20"/>
        <v>1</v>
      </c>
      <c r="AN41" s="478">
        <f t="shared" si="1"/>
        <v>1</v>
      </c>
      <c r="AO41" s="478">
        <f t="shared" si="2"/>
        <v>0.5</v>
      </c>
      <c r="AP41" s="478">
        <f t="shared" si="3"/>
        <v>0.46944444444444444</v>
      </c>
      <c r="AQ41" s="478"/>
      <c r="AR41" s="472">
        <v>0.25</v>
      </c>
      <c r="AS41" s="484" t="str">
        <f t="shared" si="31"/>
        <v>Informes</v>
      </c>
      <c r="AT41" s="473">
        <v>12240000</v>
      </c>
      <c r="AU41" s="479"/>
      <c r="AV41" s="479"/>
      <c r="AW41" s="478">
        <f t="shared" si="21"/>
        <v>0</v>
      </c>
      <c r="AX41" s="478">
        <f t="shared" si="22"/>
        <v>0</v>
      </c>
      <c r="AY41" s="478">
        <f t="shared" si="23"/>
        <v>0.5</v>
      </c>
      <c r="AZ41" s="478">
        <f t="shared" si="24"/>
        <v>0.46944444444444444</v>
      </c>
      <c r="BA41" s="478"/>
      <c r="BB41" s="472">
        <v>0.25</v>
      </c>
      <c r="BC41" s="484" t="str">
        <f t="shared" si="32"/>
        <v>Informes</v>
      </c>
      <c r="BD41" s="473">
        <v>12240000</v>
      </c>
      <c r="BE41" s="479"/>
      <c r="BF41" s="479"/>
      <c r="BG41" s="472">
        <f t="shared" si="25"/>
        <v>0</v>
      </c>
      <c r="BH41" s="472">
        <f t="shared" si="26"/>
        <v>0</v>
      </c>
      <c r="BI41" s="472">
        <f t="shared" si="27"/>
        <v>0.5</v>
      </c>
      <c r="BJ41" s="472">
        <f t="shared" si="28"/>
        <v>0.46944444444444444</v>
      </c>
      <c r="BK41" s="472"/>
      <c r="BL41" s="533">
        <f t="shared" si="6"/>
        <v>1</v>
      </c>
      <c r="BM41" s="533">
        <f t="shared" si="7"/>
        <v>0.87777777777777777</v>
      </c>
      <c r="BN41" s="533">
        <f t="shared" si="8"/>
        <v>1</v>
      </c>
      <c r="BO41" s="533">
        <f t="shared" si="9"/>
        <v>1</v>
      </c>
      <c r="BP41" s="533">
        <f t="shared" si="29"/>
        <v>0</v>
      </c>
      <c r="BQ41" s="533">
        <f t="shared" si="30"/>
        <v>0</v>
      </c>
      <c r="BR41" s="533">
        <f t="shared" si="10"/>
        <v>0</v>
      </c>
      <c r="BS41" s="533">
        <f t="shared" si="11"/>
        <v>0</v>
      </c>
      <c r="BT41" s="480">
        <f t="shared" si="14"/>
        <v>0.58333333333333337</v>
      </c>
      <c r="BU41" s="481" t="str">
        <f t="shared" si="36"/>
        <v>Informes</v>
      </c>
      <c r="BV41" s="482">
        <f t="shared" si="13"/>
        <v>28560000</v>
      </c>
      <c r="BW41" s="479"/>
      <c r="BX41" s="479"/>
      <c r="BY41" s="479"/>
      <c r="BZ41" s="479"/>
      <c r="CA41" s="479"/>
      <c r="CB41" s="479"/>
      <c r="CC41" s="479"/>
      <c r="CD41" s="922" t="s">
        <v>1212</v>
      </c>
    </row>
    <row r="42" spans="1:82" s="428" customFormat="1" ht="90" x14ac:dyDescent="0.25">
      <c r="A42" s="468">
        <v>11300</v>
      </c>
      <c r="B42" s="469" t="s">
        <v>4</v>
      </c>
      <c r="C42" s="470" t="s">
        <v>160</v>
      </c>
      <c r="D42" s="469" t="s">
        <v>145</v>
      </c>
      <c r="E42" s="470" t="s">
        <v>588</v>
      </c>
      <c r="F42" s="469" t="s">
        <v>254</v>
      </c>
      <c r="G42" s="471" t="s">
        <v>124</v>
      </c>
      <c r="H42" s="470">
        <v>4</v>
      </c>
      <c r="I42" s="470" t="s">
        <v>589</v>
      </c>
      <c r="J42" s="469" t="s">
        <v>254</v>
      </c>
      <c r="K42" s="473">
        <v>272680404</v>
      </c>
      <c r="L42" s="474">
        <v>1</v>
      </c>
      <c r="M42" s="469" t="s">
        <v>46</v>
      </c>
      <c r="N42" s="469" t="s">
        <v>68</v>
      </c>
      <c r="O42" s="469" t="s">
        <v>21</v>
      </c>
      <c r="P42" s="469" t="s">
        <v>36</v>
      </c>
      <c r="Q42" s="469" t="s">
        <v>215</v>
      </c>
      <c r="R42" s="469" t="s">
        <v>255</v>
      </c>
      <c r="S42" s="469" t="s">
        <v>99</v>
      </c>
      <c r="T42" s="509">
        <v>4</v>
      </c>
      <c r="U42" s="475" t="str">
        <f t="shared" si="15"/>
        <v>Estados Financieros</v>
      </c>
      <c r="V42" s="476">
        <f t="shared" si="16"/>
        <v>272680404</v>
      </c>
      <c r="W42" s="477" t="s">
        <v>114</v>
      </c>
      <c r="X42" s="501">
        <v>1</v>
      </c>
      <c r="Y42" s="484" t="str">
        <f t="shared" si="33"/>
        <v>Estados Financieros</v>
      </c>
      <c r="Z42" s="473">
        <v>68170101</v>
      </c>
      <c r="AA42" s="479">
        <v>1</v>
      </c>
      <c r="AB42" s="473">
        <f>59974199+4080000</f>
        <v>64054199</v>
      </c>
      <c r="AC42" s="478">
        <f t="shared" si="17"/>
        <v>1</v>
      </c>
      <c r="AD42" s="478">
        <f t="shared" si="18"/>
        <v>0.93962306143568719</v>
      </c>
      <c r="AE42" s="478">
        <f t="shared" si="19"/>
        <v>0.25</v>
      </c>
      <c r="AF42" s="478">
        <f t="shared" si="0"/>
        <v>0.2349057653589218</v>
      </c>
      <c r="AG42" s="478"/>
      <c r="AH42" s="501">
        <v>1</v>
      </c>
      <c r="AI42" s="484" t="str">
        <f t="shared" si="34"/>
        <v>Estados Financieros</v>
      </c>
      <c r="AJ42" s="473">
        <v>68170101</v>
      </c>
      <c r="AK42" s="681">
        <v>1</v>
      </c>
      <c r="AL42" s="616">
        <v>68170101</v>
      </c>
      <c r="AM42" s="478">
        <f t="shared" si="20"/>
        <v>1</v>
      </c>
      <c r="AN42" s="478">
        <f t="shared" si="1"/>
        <v>1</v>
      </c>
      <c r="AO42" s="478">
        <f t="shared" si="2"/>
        <v>0.5</v>
      </c>
      <c r="AP42" s="478">
        <f t="shared" si="3"/>
        <v>0.48490576535892177</v>
      </c>
      <c r="AQ42" s="478"/>
      <c r="AR42" s="501">
        <v>1</v>
      </c>
      <c r="AS42" s="484" t="str">
        <f t="shared" si="31"/>
        <v>Estados Financieros</v>
      </c>
      <c r="AT42" s="473">
        <v>68170101</v>
      </c>
      <c r="AU42" s="479"/>
      <c r="AV42" s="479"/>
      <c r="AW42" s="478">
        <f t="shared" si="21"/>
        <v>0</v>
      </c>
      <c r="AX42" s="478">
        <f t="shared" si="22"/>
        <v>0</v>
      </c>
      <c r="AY42" s="478">
        <f t="shared" si="23"/>
        <v>0.5</v>
      </c>
      <c r="AZ42" s="478">
        <f t="shared" si="24"/>
        <v>0.48490576535892177</v>
      </c>
      <c r="BA42" s="478"/>
      <c r="BB42" s="501">
        <v>1</v>
      </c>
      <c r="BC42" s="484" t="str">
        <f t="shared" si="32"/>
        <v>Estados Financieros</v>
      </c>
      <c r="BD42" s="473">
        <v>68170101</v>
      </c>
      <c r="BE42" s="479"/>
      <c r="BF42" s="479"/>
      <c r="BG42" s="472">
        <f t="shared" si="25"/>
        <v>0</v>
      </c>
      <c r="BH42" s="472">
        <f t="shared" si="26"/>
        <v>0</v>
      </c>
      <c r="BI42" s="472">
        <f t="shared" si="27"/>
        <v>0.5</v>
      </c>
      <c r="BJ42" s="472">
        <f t="shared" si="28"/>
        <v>0.48490576535892177</v>
      </c>
      <c r="BK42" s="472"/>
      <c r="BL42" s="533">
        <f t="shared" si="6"/>
        <v>1</v>
      </c>
      <c r="BM42" s="533">
        <f t="shared" si="7"/>
        <v>0.93962306143568719</v>
      </c>
      <c r="BN42" s="533">
        <f t="shared" si="8"/>
        <v>1</v>
      </c>
      <c r="BO42" s="533">
        <f t="shared" si="9"/>
        <v>1</v>
      </c>
      <c r="BP42" s="533">
        <f t="shared" si="29"/>
        <v>0</v>
      </c>
      <c r="BQ42" s="533">
        <f t="shared" si="30"/>
        <v>0</v>
      </c>
      <c r="BR42" s="533">
        <f t="shared" si="10"/>
        <v>0</v>
      </c>
      <c r="BS42" s="533">
        <f t="shared" si="11"/>
        <v>0</v>
      </c>
      <c r="BT42" s="507">
        <f t="shared" si="14"/>
        <v>2.3333333333333335</v>
      </c>
      <c r="BU42" s="481" t="str">
        <f t="shared" si="36"/>
        <v>Estados Financieros</v>
      </c>
      <c r="BV42" s="482">
        <f t="shared" si="13"/>
        <v>159063569</v>
      </c>
      <c r="BW42" s="479"/>
      <c r="BX42" s="479"/>
      <c r="BY42" s="479"/>
      <c r="BZ42" s="479"/>
      <c r="CA42" s="479"/>
      <c r="CB42" s="479"/>
      <c r="CC42" s="479"/>
      <c r="CD42" s="922" t="s">
        <v>1211</v>
      </c>
    </row>
    <row r="43" spans="1:82" s="428" customFormat="1" ht="63.75" x14ac:dyDescent="0.25">
      <c r="A43" s="468">
        <v>11300</v>
      </c>
      <c r="B43" s="469" t="s">
        <v>4</v>
      </c>
      <c r="C43" s="470" t="s">
        <v>160</v>
      </c>
      <c r="D43" s="469" t="s">
        <v>145</v>
      </c>
      <c r="E43" s="470" t="s">
        <v>590</v>
      </c>
      <c r="F43" s="469" t="s">
        <v>257</v>
      </c>
      <c r="G43" s="471" t="s">
        <v>124</v>
      </c>
      <c r="H43" s="470">
        <v>4</v>
      </c>
      <c r="I43" s="470" t="s">
        <v>591</v>
      </c>
      <c r="J43" s="469" t="s">
        <v>258</v>
      </c>
      <c r="K43" s="473">
        <v>0</v>
      </c>
      <c r="L43" s="474">
        <v>1</v>
      </c>
      <c r="M43" s="469" t="s">
        <v>46</v>
      </c>
      <c r="N43" s="469" t="s">
        <v>68</v>
      </c>
      <c r="O43" s="469" t="s">
        <v>21</v>
      </c>
      <c r="P43" s="469" t="s">
        <v>36</v>
      </c>
      <c r="Q43" s="469" t="s">
        <v>212</v>
      </c>
      <c r="R43" s="469" t="s">
        <v>137</v>
      </c>
      <c r="S43" s="469" t="s">
        <v>99</v>
      </c>
      <c r="T43" s="509">
        <v>4</v>
      </c>
      <c r="U43" s="475" t="str">
        <f t="shared" si="15"/>
        <v>Informe</v>
      </c>
      <c r="V43" s="476">
        <f t="shared" si="16"/>
        <v>0</v>
      </c>
      <c r="W43" s="477" t="s">
        <v>117</v>
      </c>
      <c r="X43" s="501">
        <v>1</v>
      </c>
      <c r="Y43" s="484" t="str">
        <f t="shared" si="33"/>
        <v>Informe</v>
      </c>
      <c r="Z43" s="473">
        <v>0</v>
      </c>
      <c r="AA43" s="479">
        <v>1</v>
      </c>
      <c r="AB43" s="482">
        <v>0</v>
      </c>
      <c r="AC43" s="478">
        <f t="shared" si="17"/>
        <v>1</v>
      </c>
      <c r="AD43" s="478" t="e">
        <f t="shared" si="18"/>
        <v>#DIV/0!</v>
      </c>
      <c r="AE43" s="478">
        <f t="shared" si="19"/>
        <v>0.25</v>
      </c>
      <c r="AF43" s="478" t="e">
        <f t="shared" si="0"/>
        <v>#DIV/0!</v>
      </c>
      <c r="AG43" s="483" t="s">
        <v>983</v>
      </c>
      <c r="AH43" s="501">
        <v>1</v>
      </c>
      <c r="AI43" s="484" t="str">
        <f t="shared" si="34"/>
        <v>Informe</v>
      </c>
      <c r="AJ43" s="473">
        <v>0</v>
      </c>
      <c r="AK43" s="658">
        <v>1</v>
      </c>
      <c r="AL43" s="616">
        <v>0</v>
      </c>
      <c r="AM43" s="478">
        <f t="shared" si="20"/>
        <v>1</v>
      </c>
      <c r="AN43" s="478" t="e">
        <f t="shared" si="1"/>
        <v>#DIV/0!</v>
      </c>
      <c r="AO43" s="478">
        <f t="shared" si="2"/>
        <v>0.5</v>
      </c>
      <c r="AP43" s="478" t="e">
        <f t="shared" si="3"/>
        <v>#DIV/0!</v>
      </c>
      <c r="AQ43" s="636" t="s">
        <v>1157</v>
      </c>
      <c r="AR43" s="501">
        <v>1</v>
      </c>
      <c r="AS43" s="484" t="str">
        <f t="shared" si="31"/>
        <v>Informe</v>
      </c>
      <c r="AT43" s="473">
        <v>0</v>
      </c>
      <c r="AU43" s="479"/>
      <c r="AV43" s="479"/>
      <c r="AW43" s="478">
        <f t="shared" si="21"/>
        <v>0</v>
      </c>
      <c r="AX43" s="478" t="e">
        <f t="shared" si="22"/>
        <v>#DIV/0!</v>
      </c>
      <c r="AY43" s="478">
        <f t="shared" si="23"/>
        <v>0.5</v>
      </c>
      <c r="AZ43" s="478" t="e">
        <f t="shared" si="24"/>
        <v>#DIV/0!</v>
      </c>
      <c r="BA43" s="478"/>
      <c r="BB43" s="501">
        <v>1</v>
      </c>
      <c r="BC43" s="484" t="str">
        <f t="shared" si="32"/>
        <v>Informe</v>
      </c>
      <c r="BD43" s="473">
        <v>0</v>
      </c>
      <c r="BE43" s="479"/>
      <c r="BF43" s="479"/>
      <c r="BG43" s="472">
        <f t="shared" si="25"/>
        <v>0</v>
      </c>
      <c r="BH43" s="472" t="e">
        <f t="shared" si="26"/>
        <v>#DIV/0!</v>
      </c>
      <c r="BI43" s="472">
        <f t="shared" si="27"/>
        <v>0.5</v>
      </c>
      <c r="BJ43" s="472" t="e">
        <f t="shared" si="28"/>
        <v>#DIV/0!</v>
      </c>
      <c r="BK43" s="472"/>
      <c r="BL43" s="533">
        <f t="shared" si="6"/>
        <v>1</v>
      </c>
      <c r="BM43" s="533" t="str">
        <f t="shared" si="7"/>
        <v>No Prog ni Ejec</v>
      </c>
      <c r="BN43" s="533">
        <f t="shared" si="8"/>
        <v>1</v>
      </c>
      <c r="BO43" s="533" t="str">
        <f t="shared" si="9"/>
        <v>No Prog ni Ejec</v>
      </c>
      <c r="BP43" s="533">
        <f t="shared" si="29"/>
        <v>0</v>
      </c>
      <c r="BQ43" s="533" t="str">
        <f t="shared" si="30"/>
        <v>No Prog ni Ejec</v>
      </c>
      <c r="BR43" s="533">
        <f t="shared" si="10"/>
        <v>0</v>
      </c>
      <c r="BS43" s="533" t="str">
        <f t="shared" si="11"/>
        <v>No Prog ni Ejec</v>
      </c>
      <c r="BT43" s="507">
        <f t="shared" si="14"/>
        <v>2.3333333333333335</v>
      </c>
      <c r="BU43" s="481" t="str">
        <f t="shared" si="36"/>
        <v>Informe</v>
      </c>
      <c r="BV43" s="482">
        <f t="shared" si="13"/>
        <v>0</v>
      </c>
      <c r="BW43" s="479"/>
      <c r="BX43" s="479"/>
      <c r="BY43" s="479"/>
      <c r="BZ43" s="479"/>
      <c r="CA43" s="479"/>
      <c r="CB43" s="479"/>
      <c r="CC43" s="479"/>
      <c r="CD43" s="428" t="s">
        <v>1213</v>
      </c>
    </row>
    <row r="44" spans="1:82" s="428" customFormat="1" ht="51" x14ac:dyDescent="0.25">
      <c r="A44" s="468">
        <v>11300</v>
      </c>
      <c r="B44" s="469" t="s">
        <v>4</v>
      </c>
      <c r="C44" s="470" t="s">
        <v>160</v>
      </c>
      <c r="D44" s="469" t="s">
        <v>145</v>
      </c>
      <c r="E44" s="470" t="s">
        <v>592</v>
      </c>
      <c r="F44" s="469" t="s">
        <v>571</v>
      </c>
      <c r="G44" s="471" t="s">
        <v>123</v>
      </c>
      <c r="H44" s="472">
        <v>1</v>
      </c>
      <c r="I44" s="470" t="s">
        <v>593</v>
      </c>
      <c r="J44" s="469" t="s">
        <v>571</v>
      </c>
      <c r="K44" s="473">
        <v>580945500</v>
      </c>
      <c r="L44" s="474">
        <v>1</v>
      </c>
      <c r="M44" s="469" t="s">
        <v>46</v>
      </c>
      <c r="N44" s="469" t="s">
        <v>68</v>
      </c>
      <c r="O44" s="469" t="s">
        <v>21</v>
      </c>
      <c r="P44" s="469" t="s">
        <v>36</v>
      </c>
      <c r="Q44" s="469" t="s">
        <v>212</v>
      </c>
      <c r="R44" s="469" t="s">
        <v>379</v>
      </c>
      <c r="S44" s="469" t="s">
        <v>99</v>
      </c>
      <c r="T44" s="474">
        <v>1</v>
      </c>
      <c r="U44" s="475" t="str">
        <f t="shared" si="15"/>
        <v>Administración y Custodia del Portafolio de Inversión</v>
      </c>
      <c r="V44" s="476">
        <f t="shared" si="16"/>
        <v>580945500</v>
      </c>
      <c r="W44" s="477" t="s">
        <v>114</v>
      </c>
      <c r="X44" s="472">
        <v>0.25</v>
      </c>
      <c r="Y44" s="484" t="str">
        <f t="shared" si="33"/>
        <v>Administración y Custodia del Portafolio de Inversión</v>
      </c>
      <c r="Z44" s="473">
        <f>+V44*X44</f>
        <v>145236375</v>
      </c>
      <c r="AA44" s="556">
        <v>0</v>
      </c>
      <c r="AB44" s="556">
        <v>0</v>
      </c>
      <c r="AC44" s="478">
        <f t="shared" si="17"/>
        <v>0</v>
      </c>
      <c r="AD44" s="478">
        <f t="shared" si="18"/>
        <v>0</v>
      </c>
      <c r="AE44" s="478">
        <f t="shared" si="19"/>
        <v>0</v>
      </c>
      <c r="AF44" s="478">
        <f t="shared" si="0"/>
        <v>0</v>
      </c>
      <c r="AG44" s="478"/>
      <c r="AH44" s="472">
        <v>0.25</v>
      </c>
      <c r="AI44" s="484" t="str">
        <f t="shared" si="34"/>
        <v>Administración y Custodia del Portafolio de Inversión</v>
      </c>
      <c r="AJ44" s="473">
        <v>145236375</v>
      </c>
      <c r="AK44" s="617">
        <v>0</v>
      </c>
      <c r="AL44" s="682">
        <v>0</v>
      </c>
      <c r="AM44" s="478">
        <f t="shared" si="20"/>
        <v>0</v>
      </c>
      <c r="AN44" s="478">
        <f t="shared" si="1"/>
        <v>0</v>
      </c>
      <c r="AO44" s="478">
        <f t="shared" si="2"/>
        <v>0</v>
      </c>
      <c r="AP44" s="478">
        <f t="shared" si="3"/>
        <v>0</v>
      </c>
      <c r="AQ44" s="478"/>
      <c r="AR44" s="472">
        <v>0.25</v>
      </c>
      <c r="AS44" s="484" t="str">
        <f t="shared" si="31"/>
        <v>Administración y Custodia del Portafolio de Inversión</v>
      </c>
      <c r="AT44" s="473">
        <v>145236375</v>
      </c>
      <c r="AU44" s="479"/>
      <c r="AV44" s="479"/>
      <c r="AW44" s="478">
        <f t="shared" si="21"/>
        <v>0</v>
      </c>
      <c r="AX44" s="478">
        <f t="shared" si="22"/>
        <v>0</v>
      </c>
      <c r="AY44" s="478">
        <f t="shared" si="23"/>
        <v>0</v>
      </c>
      <c r="AZ44" s="478">
        <f t="shared" si="24"/>
        <v>0</v>
      </c>
      <c r="BA44" s="478"/>
      <c r="BB44" s="472">
        <v>0.25</v>
      </c>
      <c r="BC44" s="484" t="str">
        <f t="shared" si="32"/>
        <v>Administración y Custodia del Portafolio de Inversión</v>
      </c>
      <c r="BD44" s="473">
        <v>145236375</v>
      </c>
      <c r="BE44" s="479"/>
      <c r="BF44" s="479"/>
      <c r="BG44" s="472">
        <f t="shared" si="25"/>
        <v>0</v>
      </c>
      <c r="BH44" s="472">
        <f t="shared" si="26"/>
        <v>0</v>
      </c>
      <c r="BI44" s="472">
        <f t="shared" si="27"/>
        <v>0</v>
      </c>
      <c r="BJ44" s="472">
        <f t="shared" si="28"/>
        <v>0</v>
      </c>
      <c r="BK44" s="472"/>
      <c r="BL44" s="533">
        <f t="shared" si="6"/>
        <v>0</v>
      </c>
      <c r="BM44" s="533">
        <f t="shared" si="7"/>
        <v>0</v>
      </c>
      <c r="BN44" s="533">
        <f t="shared" si="8"/>
        <v>0</v>
      </c>
      <c r="BO44" s="533">
        <f t="shared" si="9"/>
        <v>0</v>
      </c>
      <c r="BP44" s="533">
        <f t="shared" si="29"/>
        <v>0</v>
      </c>
      <c r="BQ44" s="533">
        <f t="shared" si="30"/>
        <v>0</v>
      </c>
      <c r="BR44" s="533">
        <f t="shared" si="10"/>
        <v>0</v>
      </c>
      <c r="BS44" s="533">
        <f t="shared" si="11"/>
        <v>0</v>
      </c>
      <c r="BT44" s="480">
        <f t="shared" si="14"/>
        <v>0.58333333333333337</v>
      </c>
      <c r="BU44" s="481" t="str">
        <f t="shared" si="36"/>
        <v>Administración y Custodia del Portafolio de Inversión</v>
      </c>
      <c r="BV44" s="482">
        <f t="shared" si="13"/>
        <v>338884875</v>
      </c>
      <c r="BW44" s="479"/>
      <c r="BX44" s="479"/>
      <c r="BY44" s="479"/>
      <c r="BZ44" s="479"/>
      <c r="CA44" s="479"/>
      <c r="CB44" s="479"/>
      <c r="CC44" s="479"/>
      <c r="CD44" s="428" t="s">
        <v>1214</v>
      </c>
    </row>
    <row r="45" spans="1:82" s="428" customFormat="1" ht="51" x14ac:dyDescent="0.25">
      <c r="A45" s="468">
        <v>11400</v>
      </c>
      <c r="B45" s="469" t="s">
        <v>26</v>
      </c>
      <c r="C45" s="470" t="s">
        <v>183</v>
      </c>
      <c r="D45" s="469" t="s">
        <v>153</v>
      </c>
      <c r="E45" s="470" t="s">
        <v>185</v>
      </c>
      <c r="F45" s="469" t="s">
        <v>133</v>
      </c>
      <c r="G45" s="471" t="s">
        <v>124</v>
      </c>
      <c r="H45" s="470">
        <v>4</v>
      </c>
      <c r="I45" s="470" t="s">
        <v>316</v>
      </c>
      <c r="J45" s="469" t="s">
        <v>24</v>
      </c>
      <c r="K45" s="473">
        <v>0</v>
      </c>
      <c r="L45" s="474">
        <v>1</v>
      </c>
      <c r="M45" s="469" t="s">
        <v>51</v>
      </c>
      <c r="N45" s="469" t="s">
        <v>68</v>
      </c>
      <c r="O45" s="469" t="s">
        <v>21</v>
      </c>
      <c r="P45" s="469" t="s">
        <v>36</v>
      </c>
      <c r="Q45" s="469" t="s">
        <v>75</v>
      </c>
      <c r="R45" s="469" t="s">
        <v>631</v>
      </c>
      <c r="S45" s="469" t="s">
        <v>98</v>
      </c>
      <c r="T45" s="470">
        <v>4</v>
      </c>
      <c r="U45" s="475" t="str">
        <f t="shared" si="15"/>
        <v>Reportar el cumplimiento del Plan de Acción de la Dependencia</v>
      </c>
      <c r="V45" s="476">
        <f t="shared" si="16"/>
        <v>0</v>
      </c>
      <c r="W45" s="477" t="s">
        <v>117</v>
      </c>
      <c r="X45" s="501">
        <v>1</v>
      </c>
      <c r="Y45" s="484" t="str">
        <f t="shared" si="33"/>
        <v>Reportar el cumplimiento del Plan de Acción de la Dependencia</v>
      </c>
      <c r="Z45" s="473">
        <v>0</v>
      </c>
      <c r="AA45" s="471">
        <v>1</v>
      </c>
      <c r="AB45" s="479">
        <v>0</v>
      </c>
      <c r="AC45" s="478">
        <f t="shared" si="17"/>
        <v>1</v>
      </c>
      <c r="AD45" s="478" t="e">
        <f t="shared" si="18"/>
        <v>#DIV/0!</v>
      </c>
      <c r="AE45" s="478">
        <f t="shared" si="19"/>
        <v>0.25</v>
      </c>
      <c r="AF45" s="478" t="e">
        <f t="shared" si="0"/>
        <v>#DIV/0!</v>
      </c>
      <c r="AG45" s="483"/>
      <c r="AH45" s="501">
        <v>1</v>
      </c>
      <c r="AI45" s="484" t="str">
        <f t="shared" si="34"/>
        <v>Reportar el cumplimiento del Plan de Acción de la Dependencia</v>
      </c>
      <c r="AJ45" s="473">
        <v>0</v>
      </c>
      <c r="AK45" s="741">
        <v>1</v>
      </c>
      <c r="AL45" s="735">
        <v>0</v>
      </c>
      <c r="AM45" s="478">
        <f t="shared" si="20"/>
        <v>1</v>
      </c>
      <c r="AN45" s="478" t="e">
        <f t="shared" si="1"/>
        <v>#DIV/0!</v>
      </c>
      <c r="AO45" s="478">
        <f t="shared" si="2"/>
        <v>0.5</v>
      </c>
      <c r="AP45" s="478" t="e">
        <f t="shared" si="3"/>
        <v>#DIV/0!</v>
      </c>
      <c r="AQ45" s="478"/>
      <c r="AR45" s="501">
        <v>1</v>
      </c>
      <c r="AS45" s="484" t="str">
        <f t="shared" si="31"/>
        <v>Reportar el cumplimiento del Plan de Acción de la Dependencia</v>
      </c>
      <c r="AT45" s="473">
        <v>0</v>
      </c>
      <c r="AU45" s="479"/>
      <c r="AV45" s="479"/>
      <c r="AW45" s="478">
        <f t="shared" si="21"/>
        <v>0</v>
      </c>
      <c r="AX45" s="478" t="e">
        <f t="shared" si="22"/>
        <v>#DIV/0!</v>
      </c>
      <c r="AY45" s="478">
        <f t="shared" si="23"/>
        <v>0.5</v>
      </c>
      <c r="AZ45" s="478" t="e">
        <f t="shared" si="24"/>
        <v>#DIV/0!</v>
      </c>
      <c r="BA45" s="478"/>
      <c r="BB45" s="501">
        <v>1</v>
      </c>
      <c r="BC45" s="484" t="str">
        <f t="shared" si="32"/>
        <v>Reportar el cumplimiento del Plan de Acción de la Dependencia</v>
      </c>
      <c r="BD45" s="473">
        <v>0</v>
      </c>
      <c r="BE45" s="479"/>
      <c r="BF45" s="479"/>
      <c r="BG45" s="472">
        <f t="shared" si="25"/>
        <v>0</v>
      </c>
      <c r="BH45" s="472" t="e">
        <f t="shared" si="26"/>
        <v>#DIV/0!</v>
      </c>
      <c r="BI45" s="472">
        <f t="shared" si="27"/>
        <v>0.5</v>
      </c>
      <c r="BJ45" s="472" t="e">
        <f t="shared" si="28"/>
        <v>#DIV/0!</v>
      </c>
      <c r="BK45" s="472"/>
      <c r="BL45" s="533">
        <f t="shared" si="6"/>
        <v>1</v>
      </c>
      <c r="BM45" s="533" t="str">
        <f t="shared" si="7"/>
        <v>No Prog ni Ejec</v>
      </c>
      <c r="BN45" s="533">
        <f t="shared" si="8"/>
        <v>1</v>
      </c>
      <c r="BO45" s="533" t="str">
        <f t="shared" si="9"/>
        <v>No Prog ni Ejec</v>
      </c>
      <c r="BP45" s="533">
        <f t="shared" si="29"/>
        <v>0</v>
      </c>
      <c r="BQ45" s="533" t="str">
        <f t="shared" si="30"/>
        <v>No Prog ni Ejec</v>
      </c>
      <c r="BR45" s="533">
        <f t="shared" si="10"/>
        <v>0</v>
      </c>
      <c r="BS45" s="533" t="str">
        <f t="shared" si="11"/>
        <v>No Prog ni Ejec</v>
      </c>
      <c r="BT45" s="507">
        <f t="shared" si="14"/>
        <v>2.3333333333333335</v>
      </c>
      <c r="BU45" s="481" t="str">
        <f t="shared" si="36"/>
        <v>Reportar el cumplimiento del Plan de Acción de la Dependencia</v>
      </c>
      <c r="BV45" s="482">
        <f t="shared" si="13"/>
        <v>0</v>
      </c>
      <c r="BW45" s="479"/>
      <c r="BX45" s="479"/>
      <c r="BY45" s="479"/>
      <c r="BZ45" s="479"/>
      <c r="CA45" s="479"/>
      <c r="CB45" s="479"/>
      <c r="CC45" s="479"/>
    </row>
    <row r="46" spans="1:82" s="428" customFormat="1" ht="165.75" x14ac:dyDescent="0.25">
      <c r="A46" s="468">
        <v>11400</v>
      </c>
      <c r="B46" s="469" t="s">
        <v>26</v>
      </c>
      <c r="C46" s="470" t="s">
        <v>184</v>
      </c>
      <c r="D46" s="469" t="s">
        <v>256</v>
      </c>
      <c r="E46" s="470" t="s">
        <v>186</v>
      </c>
      <c r="F46" s="469" t="s">
        <v>159</v>
      </c>
      <c r="G46" s="471" t="s">
        <v>123</v>
      </c>
      <c r="H46" s="472">
        <v>1</v>
      </c>
      <c r="I46" s="470" t="s">
        <v>317</v>
      </c>
      <c r="J46" s="469" t="s">
        <v>156</v>
      </c>
      <c r="K46" s="473">
        <v>0</v>
      </c>
      <c r="L46" s="474">
        <v>1</v>
      </c>
      <c r="M46" s="469" t="s">
        <v>51</v>
      </c>
      <c r="N46" s="469" t="s">
        <v>68</v>
      </c>
      <c r="O46" s="469" t="s">
        <v>21</v>
      </c>
      <c r="P46" s="469" t="s">
        <v>36</v>
      </c>
      <c r="Q46" s="469" t="s">
        <v>75</v>
      </c>
      <c r="R46" s="469" t="s">
        <v>672</v>
      </c>
      <c r="S46" s="469" t="s">
        <v>98</v>
      </c>
      <c r="T46" s="474">
        <v>1</v>
      </c>
      <c r="U46" s="475" t="str">
        <f t="shared" si="15"/>
        <v>Formular los proceso y procedimientos en el marco del MIPG</v>
      </c>
      <c r="V46" s="476">
        <f t="shared" si="16"/>
        <v>0</v>
      </c>
      <c r="W46" s="477" t="s">
        <v>117</v>
      </c>
      <c r="X46" s="472">
        <v>0.25</v>
      </c>
      <c r="Y46" s="484" t="str">
        <f t="shared" si="33"/>
        <v>Formular los proceso y procedimientos en el marco del MIPG</v>
      </c>
      <c r="Z46" s="473">
        <v>0</v>
      </c>
      <c r="AA46" s="525">
        <f>(33/35)</f>
        <v>0.94285714285714284</v>
      </c>
      <c r="AB46" s="479">
        <v>0</v>
      </c>
      <c r="AC46" s="478">
        <f t="shared" si="17"/>
        <v>3.7714285714285714</v>
      </c>
      <c r="AD46" s="478" t="e">
        <f t="shared" si="18"/>
        <v>#DIV/0!</v>
      </c>
      <c r="AE46" s="478">
        <f t="shared" si="19"/>
        <v>0.94285714285714284</v>
      </c>
      <c r="AF46" s="478" t="e">
        <f t="shared" si="0"/>
        <v>#DIV/0!</v>
      </c>
      <c r="AG46" s="483" t="s">
        <v>1002</v>
      </c>
      <c r="AH46" s="472">
        <v>0.25</v>
      </c>
      <c r="AI46" s="484" t="str">
        <f t="shared" si="34"/>
        <v>Formular los proceso y procedimientos en el marco del MIPG</v>
      </c>
      <c r="AJ46" s="473">
        <v>0</v>
      </c>
      <c r="AK46" s="746">
        <f>(2/33)</f>
        <v>6.0606060606060608E-2</v>
      </c>
      <c r="AL46" s="744">
        <v>0</v>
      </c>
      <c r="AM46" s="478">
        <f t="shared" si="20"/>
        <v>0.24242424242424243</v>
      </c>
      <c r="AN46" s="478" t="e">
        <f t="shared" si="1"/>
        <v>#DIV/0!</v>
      </c>
      <c r="AO46" s="478">
        <f t="shared" si="2"/>
        <v>1.0034632034632034</v>
      </c>
      <c r="AP46" s="478" t="e">
        <f t="shared" si="3"/>
        <v>#DIV/0!</v>
      </c>
      <c r="AQ46" s="636" t="s">
        <v>1185</v>
      </c>
      <c r="AR46" s="472">
        <v>0.25</v>
      </c>
      <c r="AS46" s="484" t="str">
        <f t="shared" si="31"/>
        <v>Formular los proceso y procedimientos en el marco del MIPG</v>
      </c>
      <c r="AT46" s="473">
        <v>0</v>
      </c>
      <c r="AU46" s="479"/>
      <c r="AV46" s="479"/>
      <c r="AW46" s="478">
        <f t="shared" si="21"/>
        <v>0</v>
      </c>
      <c r="AX46" s="478" t="e">
        <f t="shared" si="22"/>
        <v>#DIV/0!</v>
      </c>
      <c r="AY46" s="478">
        <f t="shared" si="23"/>
        <v>1.0034632034632034</v>
      </c>
      <c r="AZ46" s="478" t="e">
        <f t="shared" si="24"/>
        <v>#DIV/0!</v>
      </c>
      <c r="BA46" s="478"/>
      <c r="BB46" s="472">
        <v>0.25</v>
      </c>
      <c r="BC46" s="484" t="str">
        <f t="shared" si="32"/>
        <v>Formular los proceso y procedimientos en el marco del MIPG</v>
      </c>
      <c r="BD46" s="473">
        <v>0</v>
      </c>
      <c r="BE46" s="479"/>
      <c r="BF46" s="479"/>
      <c r="BG46" s="472">
        <f t="shared" si="25"/>
        <v>0</v>
      </c>
      <c r="BH46" s="472" t="e">
        <f t="shared" si="26"/>
        <v>#DIV/0!</v>
      </c>
      <c r="BI46" s="472">
        <f t="shared" si="27"/>
        <v>1.0034632034632034</v>
      </c>
      <c r="BJ46" s="472" t="e">
        <f t="shared" si="28"/>
        <v>#DIV/0!</v>
      </c>
      <c r="BK46" s="472"/>
      <c r="BL46" s="533">
        <f t="shared" si="6"/>
        <v>3.7714285714285714</v>
      </c>
      <c r="BM46" s="533" t="str">
        <f t="shared" si="7"/>
        <v>No Prog ni Ejec</v>
      </c>
      <c r="BN46" s="533">
        <f t="shared" si="8"/>
        <v>0.24242424242424243</v>
      </c>
      <c r="BO46" s="533" t="str">
        <f t="shared" si="9"/>
        <v>No Prog ni Ejec</v>
      </c>
      <c r="BP46" s="533">
        <f t="shared" si="29"/>
        <v>0</v>
      </c>
      <c r="BQ46" s="533" t="str">
        <f t="shared" si="30"/>
        <v>No Prog ni Ejec</v>
      </c>
      <c r="BR46" s="533">
        <f t="shared" si="10"/>
        <v>0</v>
      </c>
      <c r="BS46" s="533" t="str">
        <f t="shared" si="11"/>
        <v>No Prog ni Ejec</v>
      </c>
      <c r="BT46" s="480">
        <f t="shared" si="14"/>
        <v>0.58333333333333337</v>
      </c>
      <c r="BU46" s="481" t="str">
        <f t="shared" si="36"/>
        <v>Formular los proceso y procedimientos en el marco del MIPG</v>
      </c>
      <c r="BV46" s="482">
        <f t="shared" si="13"/>
        <v>0</v>
      </c>
      <c r="BW46" s="479"/>
      <c r="BX46" s="479"/>
      <c r="BY46" s="479"/>
      <c r="BZ46" s="479"/>
      <c r="CA46" s="479"/>
      <c r="CB46" s="479"/>
      <c r="CC46" s="479"/>
    </row>
    <row r="47" spans="1:82" s="428" customFormat="1" ht="89.25" x14ac:dyDescent="0.25">
      <c r="A47" s="468">
        <v>11400</v>
      </c>
      <c r="B47" s="469" t="s">
        <v>26</v>
      </c>
      <c r="C47" s="470" t="s">
        <v>184</v>
      </c>
      <c r="D47" s="469" t="s">
        <v>256</v>
      </c>
      <c r="E47" s="470" t="s">
        <v>187</v>
      </c>
      <c r="F47" s="469" t="s">
        <v>127</v>
      </c>
      <c r="G47" s="471" t="s">
        <v>123</v>
      </c>
      <c r="H47" s="472">
        <v>1</v>
      </c>
      <c r="I47" s="470" t="s">
        <v>318</v>
      </c>
      <c r="J47" s="469" t="s">
        <v>128</v>
      </c>
      <c r="K47" s="473">
        <v>0</v>
      </c>
      <c r="L47" s="474">
        <v>1</v>
      </c>
      <c r="M47" s="469" t="s">
        <v>51</v>
      </c>
      <c r="N47" s="469" t="s">
        <v>68</v>
      </c>
      <c r="O47" s="469" t="s">
        <v>21</v>
      </c>
      <c r="P47" s="469" t="s">
        <v>36</v>
      </c>
      <c r="Q47" s="469" t="s">
        <v>75</v>
      </c>
      <c r="R47" s="469" t="s">
        <v>570</v>
      </c>
      <c r="S47" s="469" t="s">
        <v>98</v>
      </c>
      <c r="T47" s="474">
        <v>1</v>
      </c>
      <c r="U47" s="475" t="str">
        <f t="shared" si="15"/>
        <v>Remitir informes trimestrales de los indicadores formulados y las acciones de mejoras</v>
      </c>
      <c r="V47" s="476">
        <f t="shared" si="16"/>
        <v>0</v>
      </c>
      <c r="W47" s="477" t="s">
        <v>117</v>
      </c>
      <c r="X47" s="472">
        <v>0</v>
      </c>
      <c r="Y47" s="484" t="str">
        <f t="shared" si="33"/>
        <v>Remitir informes trimestrales de los indicadores formulados y las acciones de mejoras</v>
      </c>
      <c r="Z47" s="473">
        <v>0</v>
      </c>
      <c r="AA47" s="525">
        <v>0</v>
      </c>
      <c r="AB47" s="479">
        <v>0</v>
      </c>
      <c r="AC47" s="478" t="e">
        <f>+(AA47/X47)</f>
        <v>#DIV/0!</v>
      </c>
      <c r="AD47" s="478" t="e">
        <f t="shared" si="18"/>
        <v>#DIV/0!</v>
      </c>
      <c r="AE47" s="478">
        <f t="shared" si="19"/>
        <v>0</v>
      </c>
      <c r="AF47" s="478" t="e">
        <f t="shared" si="0"/>
        <v>#DIV/0!</v>
      </c>
      <c r="AG47" s="483"/>
      <c r="AH47" s="472">
        <v>0</v>
      </c>
      <c r="AI47" s="484" t="str">
        <f t="shared" si="34"/>
        <v>Remitir informes trimestrales de los indicadores formulados y las acciones de mejoras</v>
      </c>
      <c r="AJ47" s="473">
        <v>0</v>
      </c>
      <c r="AK47" s="743">
        <v>0</v>
      </c>
      <c r="AL47" s="735">
        <v>0</v>
      </c>
      <c r="AM47" s="478" t="e">
        <f t="shared" si="20"/>
        <v>#DIV/0!</v>
      </c>
      <c r="AN47" s="478" t="e">
        <f t="shared" si="1"/>
        <v>#DIV/0!</v>
      </c>
      <c r="AO47" s="478">
        <f t="shared" si="2"/>
        <v>0</v>
      </c>
      <c r="AP47" s="478" t="e">
        <f t="shared" si="3"/>
        <v>#DIV/0!</v>
      </c>
      <c r="AQ47" s="632"/>
      <c r="AR47" s="472">
        <v>0</v>
      </c>
      <c r="AS47" s="484" t="str">
        <f t="shared" si="31"/>
        <v>Remitir informes trimestrales de los indicadores formulados y las acciones de mejoras</v>
      </c>
      <c r="AT47" s="473">
        <v>0</v>
      </c>
      <c r="AU47" s="479"/>
      <c r="AV47" s="479"/>
      <c r="AW47" s="478" t="e">
        <f t="shared" si="21"/>
        <v>#DIV/0!</v>
      </c>
      <c r="AX47" s="478" t="e">
        <f t="shared" si="22"/>
        <v>#DIV/0!</v>
      </c>
      <c r="AY47" s="478">
        <f t="shared" si="23"/>
        <v>0</v>
      </c>
      <c r="AZ47" s="478" t="e">
        <f t="shared" si="24"/>
        <v>#DIV/0!</v>
      </c>
      <c r="BA47" s="478"/>
      <c r="BB47" s="472">
        <v>1</v>
      </c>
      <c r="BC47" s="484" t="str">
        <f t="shared" si="32"/>
        <v>Remitir informes trimestrales de los indicadores formulados y las acciones de mejoras</v>
      </c>
      <c r="BD47" s="473">
        <v>0</v>
      </c>
      <c r="BE47" s="479"/>
      <c r="BF47" s="479"/>
      <c r="BG47" s="472">
        <f t="shared" si="25"/>
        <v>0</v>
      </c>
      <c r="BH47" s="472" t="e">
        <f t="shared" si="26"/>
        <v>#DIV/0!</v>
      </c>
      <c r="BI47" s="472">
        <f t="shared" si="27"/>
        <v>0</v>
      </c>
      <c r="BJ47" s="472" t="e">
        <f t="shared" si="28"/>
        <v>#DIV/0!</v>
      </c>
      <c r="BK47" s="472"/>
      <c r="BL47" s="533" t="str">
        <f t="shared" si="6"/>
        <v>No Prog ni Ejec</v>
      </c>
      <c r="BM47" s="533" t="str">
        <f t="shared" si="7"/>
        <v>No Prog ni Ejec</v>
      </c>
      <c r="BN47" s="533" t="str">
        <f t="shared" si="8"/>
        <v>No Prog ni Ejec</v>
      </c>
      <c r="BO47" s="533" t="str">
        <f t="shared" si="9"/>
        <v>No Prog ni Ejec</v>
      </c>
      <c r="BP47" s="533" t="str">
        <f t="shared" si="29"/>
        <v>No Prog ni Ejec</v>
      </c>
      <c r="BQ47" s="533" t="str">
        <f t="shared" si="30"/>
        <v>No Prog ni Ejec</v>
      </c>
      <c r="BR47" s="533">
        <f t="shared" si="10"/>
        <v>0</v>
      </c>
      <c r="BS47" s="533" t="str">
        <f t="shared" si="11"/>
        <v>No Prog ni Ejec</v>
      </c>
      <c r="BT47" s="480">
        <f t="shared" si="14"/>
        <v>0</v>
      </c>
      <c r="BU47" s="481" t="str">
        <f t="shared" si="36"/>
        <v>Remitir informes trimestrales de los indicadores formulados y las acciones de mejoras</v>
      </c>
      <c r="BV47" s="482">
        <f t="shared" si="13"/>
        <v>0</v>
      </c>
      <c r="BW47" s="479"/>
      <c r="BX47" s="479"/>
      <c r="BY47" s="479"/>
      <c r="BZ47" s="479"/>
      <c r="CA47" s="479"/>
      <c r="CB47" s="479"/>
      <c r="CC47" s="479"/>
    </row>
    <row r="48" spans="1:82" s="428" customFormat="1" ht="63.75" x14ac:dyDescent="0.25">
      <c r="A48" s="468">
        <v>11400</v>
      </c>
      <c r="B48" s="469" t="s">
        <v>26</v>
      </c>
      <c r="C48" s="470" t="s">
        <v>188</v>
      </c>
      <c r="D48" s="469" t="s">
        <v>144</v>
      </c>
      <c r="E48" s="470" t="s">
        <v>192</v>
      </c>
      <c r="F48" s="469" t="s">
        <v>189</v>
      </c>
      <c r="G48" s="471" t="s">
        <v>124</v>
      </c>
      <c r="H48" s="502">
        <v>47</v>
      </c>
      <c r="I48" s="470" t="s">
        <v>237</v>
      </c>
      <c r="J48" s="469" t="s">
        <v>190</v>
      </c>
      <c r="K48" s="473">
        <v>100516376</v>
      </c>
      <c r="L48" s="474">
        <v>1</v>
      </c>
      <c r="M48" s="469" t="s">
        <v>46</v>
      </c>
      <c r="N48" s="469" t="s">
        <v>68</v>
      </c>
      <c r="O48" s="469" t="s">
        <v>21</v>
      </c>
      <c r="P48" s="469" t="s">
        <v>36</v>
      </c>
      <c r="Q48" s="469" t="s">
        <v>216</v>
      </c>
      <c r="R48" s="469" t="s">
        <v>911</v>
      </c>
      <c r="S48" s="469" t="s">
        <v>99</v>
      </c>
      <c r="T48" s="501">
        <v>47</v>
      </c>
      <c r="U48" s="475" t="str">
        <f t="shared" si="15"/>
        <v>No. de Procesos de Compensación Ejecutados</v>
      </c>
      <c r="V48" s="476">
        <f t="shared" si="16"/>
        <v>100516376</v>
      </c>
      <c r="W48" s="477" t="s">
        <v>114</v>
      </c>
      <c r="X48" s="501">
        <v>11</v>
      </c>
      <c r="Y48" s="484" t="str">
        <f t="shared" si="33"/>
        <v>No. de Procesos de Compensación Ejecutados</v>
      </c>
      <c r="Z48" s="473">
        <v>43249020</v>
      </c>
      <c r="AA48" s="561">
        <v>11</v>
      </c>
      <c r="AB48" s="562">
        <f>19270170-136000</f>
        <v>19134170</v>
      </c>
      <c r="AC48" s="478">
        <f t="shared" si="17"/>
        <v>1</v>
      </c>
      <c r="AD48" s="478">
        <f t="shared" si="18"/>
        <v>0.44241857965798992</v>
      </c>
      <c r="AE48" s="478">
        <f t="shared" si="19"/>
        <v>0.23404255319148937</v>
      </c>
      <c r="AF48" s="478">
        <f t="shared" si="0"/>
        <v>0.19035873318791358</v>
      </c>
      <c r="AG48" s="483"/>
      <c r="AH48" s="501">
        <v>12</v>
      </c>
      <c r="AI48" s="484" t="str">
        <f t="shared" si="34"/>
        <v>No. de Procesos de Compensación Ejecutados</v>
      </c>
      <c r="AJ48" s="473">
        <v>12240000</v>
      </c>
      <c r="AK48" s="737">
        <v>12</v>
      </c>
      <c r="AL48" s="742">
        <v>27650517</v>
      </c>
      <c r="AM48" s="478">
        <f t="shared" si="20"/>
        <v>1</v>
      </c>
      <c r="AN48" s="478">
        <f>+(AL48/AJ48)</f>
        <v>2.2590291666666666</v>
      </c>
      <c r="AO48" s="478">
        <f t="shared" si="2"/>
        <v>0.48936170212765956</v>
      </c>
      <c r="AP48" s="478">
        <f t="shared" si="3"/>
        <v>0.465443431824482</v>
      </c>
      <c r="AQ48" s="632"/>
      <c r="AR48" s="501">
        <v>12</v>
      </c>
      <c r="AS48" s="484" t="str">
        <f t="shared" si="31"/>
        <v>No. de Procesos de Compensación Ejecutados</v>
      </c>
      <c r="AT48" s="473">
        <v>17376839</v>
      </c>
      <c r="AU48" s="479"/>
      <c r="AV48" s="479"/>
      <c r="AW48" s="478">
        <f t="shared" si="21"/>
        <v>0</v>
      </c>
      <c r="AX48" s="478">
        <f t="shared" si="22"/>
        <v>0</v>
      </c>
      <c r="AY48" s="478">
        <f t="shared" si="23"/>
        <v>0.48936170212765956</v>
      </c>
      <c r="AZ48" s="478">
        <f t="shared" si="24"/>
        <v>0.465443431824482</v>
      </c>
      <c r="BA48" s="478"/>
      <c r="BB48" s="501">
        <v>12</v>
      </c>
      <c r="BC48" s="484" t="str">
        <f t="shared" si="32"/>
        <v>No. de Procesos de Compensación Ejecutados</v>
      </c>
      <c r="BD48" s="473">
        <v>27650517</v>
      </c>
      <c r="BE48" s="479"/>
      <c r="BF48" s="479"/>
      <c r="BG48" s="472">
        <f t="shared" si="25"/>
        <v>0</v>
      </c>
      <c r="BH48" s="472">
        <f t="shared" si="26"/>
        <v>0</v>
      </c>
      <c r="BI48" s="472">
        <f t="shared" si="27"/>
        <v>0.48936170212765956</v>
      </c>
      <c r="BJ48" s="472">
        <f t="shared" si="28"/>
        <v>0.465443431824482</v>
      </c>
      <c r="BK48" s="472"/>
      <c r="BL48" s="533">
        <f t="shared" si="6"/>
        <v>1</v>
      </c>
      <c r="BM48" s="533">
        <f t="shared" si="7"/>
        <v>0.44241857965798992</v>
      </c>
      <c r="BN48" s="533">
        <f t="shared" si="8"/>
        <v>1</v>
      </c>
      <c r="BO48" s="533">
        <f t="shared" si="9"/>
        <v>2.2590291666666666</v>
      </c>
      <c r="BP48" s="533">
        <f t="shared" si="29"/>
        <v>0</v>
      </c>
      <c r="BQ48" s="533">
        <f t="shared" si="30"/>
        <v>0</v>
      </c>
      <c r="BR48" s="533">
        <f t="shared" si="10"/>
        <v>0</v>
      </c>
      <c r="BS48" s="533">
        <f t="shared" si="11"/>
        <v>0</v>
      </c>
      <c r="BT48" s="507">
        <f t="shared" si="14"/>
        <v>27</v>
      </c>
      <c r="BU48" s="481" t="str">
        <f t="shared" si="36"/>
        <v>No. de Procesos de Compensación Ejecutados</v>
      </c>
      <c r="BV48" s="482">
        <f t="shared" si="13"/>
        <v>61281299.666666664</v>
      </c>
      <c r="BW48" s="479"/>
      <c r="BX48" s="479"/>
      <c r="BY48" s="479"/>
      <c r="BZ48" s="479"/>
      <c r="CA48" s="479"/>
      <c r="CB48" s="479"/>
      <c r="CC48" s="479"/>
    </row>
    <row r="49" spans="1:81" s="428" customFormat="1" ht="165.75" x14ac:dyDescent="0.25">
      <c r="A49" s="468">
        <v>11400</v>
      </c>
      <c r="B49" s="469" t="s">
        <v>26</v>
      </c>
      <c r="C49" s="470" t="s">
        <v>188</v>
      </c>
      <c r="D49" s="469" t="s">
        <v>144</v>
      </c>
      <c r="E49" s="470" t="s">
        <v>479</v>
      </c>
      <c r="F49" s="469" t="s">
        <v>191</v>
      </c>
      <c r="G49" s="471" t="s">
        <v>124</v>
      </c>
      <c r="H49" s="470">
        <v>12</v>
      </c>
      <c r="I49" s="470" t="s">
        <v>480</v>
      </c>
      <c r="J49" s="469" t="s">
        <v>597</v>
      </c>
      <c r="K49" s="473">
        <v>0</v>
      </c>
      <c r="L49" s="474">
        <v>1</v>
      </c>
      <c r="M49" s="469" t="s">
        <v>46</v>
      </c>
      <c r="N49" s="469" t="s">
        <v>68</v>
      </c>
      <c r="O49" s="469" t="s">
        <v>21</v>
      </c>
      <c r="P49" s="469" t="s">
        <v>36</v>
      </c>
      <c r="Q49" s="469" t="s">
        <v>223</v>
      </c>
      <c r="R49" s="469" t="s">
        <v>912</v>
      </c>
      <c r="S49" s="469" t="s">
        <v>99</v>
      </c>
      <c r="T49" s="501">
        <v>12</v>
      </c>
      <c r="U49" s="475" t="str">
        <f t="shared" si="15"/>
        <v>No. de Procesos de LMA Ejecutados</v>
      </c>
      <c r="V49" s="476">
        <f t="shared" si="16"/>
        <v>0</v>
      </c>
      <c r="W49" s="477" t="s">
        <v>117</v>
      </c>
      <c r="X49" s="501">
        <v>3</v>
      </c>
      <c r="Y49" s="484" t="str">
        <f t="shared" si="33"/>
        <v>No. de Procesos de LMA Ejecutados</v>
      </c>
      <c r="Z49" s="473">
        <v>0</v>
      </c>
      <c r="AA49" s="471">
        <v>3</v>
      </c>
      <c r="AB49" s="482">
        <v>0</v>
      </c>
      <c r="AC49" s="478">
        <f t="shared" si="17"/>
        <v>1</v>
      </c>
      <c r="AD49" s="478" t="e">
        <f t="shared" si="18"/>
        <v>#DIV/0!</v>
      </c>
      <c r="AE49" s="478">
        <f t="shared" si="19"/>
        <v>0.25</v>
      </c>
      <c r="AF49" s="478" t="e">
        <f t="shared" si="0"/>
        <v>#DIV/0!</v>
      </c>
      <c r="AG49" s="483" t="s">
        <v>908</v>
      </c>
      <c r="AH49" s="501">
        <v>3</v>
      </c>
      <c r="AI49" s="484" t="str">
        <f t="shared" si="34"/>
        <v>No. de Procesos de LMA Ejecutados</v>
      </c>
      <c r="AJ49" s="473">
        <v>0</v>
      </c>
      <c r="AK49" s="743">
        <v>3</v>
      </c>
      <c r="AL49" s="736">
        <v>0</v>
      </c>
      <c r="AM49" s="478">
        <f t="shared" si="20"/>
        <v>1</v>
      </c>
      <c r="AN49" s="478" t="e">
        <f t="shared" si="1"/>
        <v>#DIV/0!</v>
      </c>
      <c r="AO49" s="478">
        <f t="shared" si="2"/>
        <v>0.5</v>
      </c>
      <c r="AP49" s="478" t="e">
        <f t="shared" si="3"/>
        <v>#DIV/0!</v>
      </c>
      <c r="AQ49" s="636" t="s">
        <v>1186</v>
      </c>
      <c r="AR49" s="501">
        <v>3</v>
      </c>
      <c r="AS49" s="484" t="str">
        <f t="shared" si="31"/>
        <v>No. de Procesos de LMA Ejecutados</v>
      </c>
      <c r="AT49" s="473">
        <v>0</v>
      </c>
      <c r="AU49" s="479"/>
      <c r="AV49" s="479"/>
      <c r="AW49" s="478">
        <f t="shared" si="21"/>
        <v>0</v>
      </c>
      <c r="AX49" s="478" t="e">
        <f t="shared" si="22"/>
        <v>#DIV/0!</v>
      </c>
      <c r="AY49" s="478">
        <f t="shared" si="23"/>
        <v>0.5</v>
      </c>
      <c r="AZ49" s="478" t="e">
        <f t="shared" si="24"/>
        <v>#DIV/0!</v>
      </c>
      <c r="BA49" s="478"/>
      <c r="BB49" s="501">
        <v>3</v>
      </c>
      <c r="BC49" s="484" t="str">
        <f t="shared" si="32"/>
        <v>No. de Procesos de LMA Ejecutados</v>
      </c>
      <c r="BD49" s="473">
        <v>0</v>
      </c>
      <c r="BE49" s="479"/>
      <c r="BF49" s="479"/>
      <c r="BG49" s="472">
        <f t="shared" si="25"/>
        <v>0</v>
      </c>
      <c r="BH49" s="472" t="e">
        <f t="shared" si="26"/>
        <v>#DIV/0!</v>
      </c>
      <c r="BI49" s="472">
        <f t="shared" si="27"/>
        <v>0.5</v>
      </c>
      <c r="BJ49" s="472" t="e">
        <f t="shared" si="28"/>
        <v>#DIV/0!</v>
      </c>
      <c r="BK49" s="472"/>
      <c r="BL49" s="533">
        <f t="shared" si="6"/>
        <v>1</v>
      </c>
      <c r="BM49" s="533" t="str">
        <f t="shared" si="7"/>
        <v>No Prog ni Ejec</v>
      </c>
      <c r="BN49" s="533">
        <f t="shared" si="8"/>
        <v>1</v>
      </c>
      <c r="BO49" s="533" t="str">
        <f t="shared" si="9"/>
        <v>No Prog ni Ejec</v>
      </c>
      <c r="BP49" s="533">
        <f t="shared" si="29"/>
        <v>0</v>
      </c>
      <c r="BQ49" s="533" t="str">
        <f t="shared" si="30"/>
        <v>No Prog ni Ejec</v>
      </c>
      <c r="BR49" s="533">
        <f t="shared" si="10"/>
        <v>0</v>
      </c>
      <c r="BS49" s="533" t="str">
        <f t="shared" si="11"/>
        <v>No Prog ni Ejec</v>
      </c>
      <c r="BT49" s="507">
        <f t="shared" si="14"/>
        <v>7</v>
      </c>
      <c r="BU49" s="481" t="str">
        <f t="shared" si="36"/>
        <v>No. de Procesos de LMA Ejecutados</v>
      </c>
      <c r="BV49" s="482">
        <f t="shared" si="13"/>
        <v>0</v>
      </c>
      <c r="BW49" s="479"/>
      <c r="BX49" s="479"/>
      <c r="BY49" s="479"/>
      <c r="BZ49" s="479"/>
      <c r="CA49" s="479"/>
      <c r="CB49" s="479"/>
      <c r="CC49" s="479"/>
    </row>
    <row r="50" spans="1:81" s="428" customFormat="1" ht="63.75" x14ac:dyDescent="0.25">
      <c r="A50" s="468">
        <v>11400</v>
      </c>
      <c r="B50" s="469" t="s">
        <v>26</v>
      </c>
      <c r="C50" s="470" t="s">
        <v>188</v>
      </c>
      <c r="D50" s="469" t="s">
        <v>144</v>
      </c>
      <c r="E50" s="470" t="s">
        <v>481</v>
      </c>
      <c r="F50" s="469" t="s">
        <v>233</v>
      </c>
      <c r="G50" s="471" t="s">
        <v>124</v>
      </c>
      <c r="H50" s="502">
        <v>48</v>
      </c>
      <c r="I50" s="470" t="s">
        <v>482</v>
      </c>
      <c r="J50" s="469" t="s">
        <v>193</v>
      </c>
      <c r="K50" s="473">
        <v>0</v>
      </c>
      <c r="L50" s="474">
        <v>1</v>
      </c>
      <c r="M50" s="469" t="s">
        <v>46</v>
      </c>
      <c r="N50" s="469" t="s">
        <v>68</v>
      </c>
      <c r="O50" s="469" t="s">
        <v>21</v>
      </c>
      <c r="P50" s="469" t="s">
        <v>36</v>
      </c>
      <c r="Q50" s="469" t="s">
        <v>216</v>
      </c>
      <c r="R50" s="469" t="s">
        <v>913</v>
      </c>
      <c r="S50" s="469" t="s">
        <v>99</v>
      </c>
      <c r="T50" s="501">
        <v>12</v>
      </c>
      <c r="U50" s="475" t="str">
        <f t="shared" si="15"/>
        <v>Publicación Giro Directo Régimen Contributivo</v>
      </c>
      <c r="V50" s="476">
        <f t="shared" si="16"/>
        <v>0</v>
      </c>
      <c r="W50" s="477" t="s">
        <v>117</v>
      </c>
      <c r="X50" s="501">
        <v>3</v>
      </c>
      <c r="Y50" s="484" t="str">
        <f t="shared" si="33"/>
        <v>Publicación Giro Directo Régimen Contributivo</v>
      </c>
      <c r="Z50" s="473">
        <v>0</v>
      </c>
      <c r="AA50" s="471">
        <v>3</v>
      </c>
      <c r="AB50" s="482">
        <v>0</v>
      </c>
      <c r="AC50" s="478">
        <f t="shared" si="17"/>
        <v>1</v>
      </c>
      <c r="AD50" s="478" t="e">
        <f t="shared" si="18"/>
        <v>#DIV/0!</v>
      </c>
      <c r="AE50" s="478">
        <f t="shared" si="19"/>
        <v>0.25</v>
      </c>
      <c r="AF50" s="478" t="e">
        <f t="shared" si="0"/>
        <v>#DIV/0!</v>
      </c>
      <c r="AG50" s="483"/>
      <c r="AH50" s="501">
        <v>3</v>
      </c>
      <c r="AI50" s="484" t="str">
        <f t="shared" si="34"/>
        <v>Publicación Giro Directo Régimen Contributivo</v>
      </c>
      <c r="AJ50" s="473">
        <v>0</v>
      </c>
      <c r="AK50" s="738">
        <v>3</v>
      </c>
      <c r="AL50" s="736">
        <v>0</v>
      </c>
      <c r="AM50" s="478">
        <f t="shared" si="20"/>
        <v>1</v>
      </c>
      <c r="AN50" s="478" t="e">
        <f t="shared" si="1"/>
        <v>#DIV/0!</v>
      </c>
      <c r="AO50" s="478">
        <f t="shared" si="2"/>
        <v>0.5</v>
      </c>
      <c r="AP50" s="478" t="e">
        <f t="shared" si="3"/>
        <v>#DIV/0!</v>
      </c>
      <c r="AQ50" s="632"/>
      <c r="AR50" s="501">
        <v>3</v>
      </c>
      <c r="AS50" s="484" t="str">
        <f t="shared" si="31"/>
        <v>Publicación Giro Directo Régimen Contributivo</v>
      </c>
      <c r="AT50" s="473">
        <v>0</v>
      </c>
      <c r="AU50" s="479"/>
      <c r="AV50" s="479"/>
      <c r="AW50" s="478">
        <f t="shared" si="21"/>
        <v>0</v>
      </c>
      <c r="AX50" s="478" t="e">
        <f t="shared" si="22"/>
        <v>#DIV/0!</v>
      </c>
      <c r="AY50" s="478">
        <f t="shared" si="23"/>
        <v>0.5</v>
      </c>
      <c r="AZ50" s="478" t="e">
        <f t="shared" si="24"/>
        <v>#DIV/0!</v>
      </c>
      <c r="BA50" s="478"/>
      <c r="BB50" s="501">
        <v>3</v>
      </c>
      <c r="BC50" s="484" t="str">
        <f t="shared" si="32"/>
        <v>Publicación Giro Directo Régimen Contributivo</v>
      </c>
      <c r="BD50" s="473">
        <v>0</v>
      </c>
      <c r="BE50" s="479"/>
      <c r="BF50" s="479"/>
      <c r="BG50" s="472">
        <f t="shared" si="25"/>
        <v>0</v>
      </c>
      <c r="BH50" s="472" t="e">
        <f t="shared" si="26"/>
        <v>#DIV/0!</v>
      </c>
      <c r="BI50" s="472">
        <f t="shared" si="27"/>
        <v>0.5</v>
      </c>
      <c r="BJ50" s="472" t="e">
        <f t="shared" si="28"/>
        <v>#DIV/0!</v>
      </c>
      <c r="BK50" s="472"/>
      <c r="BL50" s="533">
        <f t="shared" si="6"/>
        <v>1</v>
      </c>
      <c r="BM50" s="533" t="str">
        <f t="shared" si="7"/>
        <v>No Prog ni Ejec</v>
      </c>
      <c r="BN50" s="533">
        <f t="shared" si="8"/>
        <v>1</v>
      </c>
      <c r="BO50" s="533" t="str">
        <f t="shared" si="9"/>
        <v>No Prog ni Ejec</v>
      </c>
      <c r="BP50" s="533">
        <f t="shared" si="29"/>
        <v>0</v>
      </c>
      <c r="BQ50" s="533" t="str">
        <f t="shared" si="30"/>
        <v>No Prog ni Ejec</v>
      </c>
      <c r="BR50" s="533">
        <f t="shared" si="10"/>
        <v>0</v>
      </c>
      <c r="BS50" s="533" t="str">
        <f t="shared" si="11"/>
        <v>No Prog ni Ejec</v>
      </c>
      <c r="BT50" s="507">
        <f t="shared" si="14"/>
        <v>7</v>
      </c>
      <c r="BU50" s="481" t="str">
        <f t="shared" si="36"/>
        <v>Publicación Giro Directo Régimen Contributivo</v>
      </c>
      <c r="BV50" s="482">
        <f t="shared" si="13"/>
        <v>0</v>
      </c>
      <c r="BW50" s="479"/>
      <c r="BX50" s="479"/>
      <c r="BY50" s="479"/>
      <c r="BZ50" s="479"/>
      <c r="CA50" s="479"/>
      <c r="CB50" s="479"/>
      <c r="CC50" s="479"/>
    </row>
    <row r="51" spans="1:81" s="428" customFormat="1" ht="127.5" x14ac:dyDescent="0.25">
      <c r="A51" s="468">
        <v>11400</v>
      </c>
      <c r="B51" s="469" t="s">
        <v>26</v>
      </c>
      <c r="C51" s="470" t="s">
        <v>188</v>
      </c>
      <c r="D51" s="469" t="s">
        <v>144</v>
      </c>
      <c r="E51" s="470" t="s">
        <v>481</v>
      </c>
      <c r="F51" s="469" t="s">
        <v>234</v>
      </c>
      <c r="G51" s="471" t="s">
        <v>124</v>
      </c>
      <c r="H51" s="470">
        <v>12</v>
      </c>
      <c r="I51" s="470" t="s">
        <v>483</v>
      </c>
      <c r="J51" s="469" t="s">
        <v>194</v>
      </c>
      <c r="K51" s="473">
        <v>0</v>
      </c>
      <c r="L51" s="474">
        <v>1</v>
      </c>
      <c r="M51" s="469" t="s">
        <v>46</v>
      </c>
      <c r="N51" s="469" t="s">
        <v>68</v>
      </c>
      <c r="O51" s="469" t="s">
        <v>21</v>
      </c>
      <c r="P51" s="469" t="s">
        <v>36</v>
      </c>
      <c r="Q51" s="469" t="s">
        <v>223</v>
      </c>
      <c r="R51" s="469" t="s">
        <v>913</v>
      </c>
      <c r="S51" s="469" t="s">
        <v>99</v>
      </c>
      <c r="T51" s="501">
        <v>12</v>
      </c>
      <c r="U51" s="475" t="str">
        <f t="shared" si="15"/>
        <v>Publicación Giro Directo Régimen Subsidiado</v>
      </c>
      <c r="V51" s="476">
        <f t="shared" si="16"/>
        <v>0</v>
      </c>
      <c r="W51" s="477" t="s">
        <v>117</v>
      </c>
      <c r="X51" s="501">
        <v>3</v>
      </c>
      <c r="Y51" s="484" t="str">
        <f t="shared" si="33"/>
        <v>Publicación Giro Directo Régimen Subsidiado</v>
      </c>
      <c r="Z51" s="473">
        <v>0</v>
      </c>
      <c r="AA51" s="471">
        <v>3</v>
      </c>
      <c r="AB51" s="529">
        <v>0</v>
      </c>
      <c r="AC51" s="478">
        <f t="shared" si="17"/>
        <v>1</v>
      </c>
      <c r="AD51" s="478" t="e">
        <f t="shared" si="18"/>
        <v>#DIV/0!</v>
      </c>
      <c r="AE51" s="478">
        <f t="shared" si="19"/>
        <v>0.25</v>
      </c>
      <c r="AF51" s="478" t="e">
        <f t="shared" si="0"/>
        <v>#DIV/0!</v>
      </c>
      <c r="AG51" s="483" t="s">
        <v>909</v>
      </c>
      <c r="AH51" s="501">
        <v>3</v>
      </c>
      <c r="AI51" s="484" t="str">
        <f t="shared" si="34"/>
        <v>Publicación Giro Directo Régimen Subsidiado</v>
      </c>
      <c r="AJ51" s="473">
        <v>0</v>
      </c>
      <c r="AK51" s="741">
        <v>3</v>
      </c>
      <c r="AL51" s="736">
        <v>0</v>
      </c>
      <c r="AM51" s="478">
        <f t="shared" si="20"/>
        <v>1</v>
      </c>
      <c r="AN51" s="478" t="e">
        <f t="shared" si="1"/>
        <v>#DIV/0!</v>
      </c>
      <c r="AO51" s="478">
        <f t="shared" si="2"/>
        <v>0.5</v>
      </c>
      <c r="AP51" s="478" t="e">
        <f t="shared" si="3"/>
        <v>#DIV/0!</v>
      </c>
      <c r="AQ51" s="636" t="s">
        <v>1187</v>
      </c>
      <c r="AR51" s="501">
        <v>3</v>
      </c>
      <c r="AS51" s="484" t="str">
        <f t="shared" si="31"/>
        <v>Publicación Giro Directo Régimen Subsidiado</v>
      </c>
      <c r="AT51" s="473">
        <v>0</v>
      </c>
      <c r="AU51" s="479"/>
      <c r="AV51" s="479"/>
      <c r="AW51" s="478">
        <f t="shared" si="21"/>
        <v>0</v>
      </c>
      <c r="AX51" s="478" t="e">
        <f t="shared" si="22"/>
        <v>#DIV/0!</v>
      </c>
      <c r="AY51" s="478">
        <f t="shared" si="23"/>
        <v>0.5</v>
      </c>
      <c r="AZ51" s="478" t="e">
        <f t="shared" si="24"/>
        <v>#DIV/0!</v>
      </c>
      <c r="BA51" s="478"/>
      <c r="BB51" s="501">
        <v>3</v>
      </c>
      <c r="BC51" s="484" t="str">
        <f t="shared" si="32"/>
        <v>Publicación Giro Directo Régimen Subsidiado</v>
      </c>
      <c r="BD51" s="473">
        <v>0</v>
      </c>
      <c r="BE51" s="479"/>
      <c r="BF51" s="479"/>
      <c r="BG51" s="472">
        <f t="shared" si="25"/>
        <v>0</v>
      </c>
      <c r="BH51" s="472" t="e">
        <f t="shared" si="26"/>
        <v>#DIV/0!</v>
      </c>
      <c r="BI51" s="472">
        <f t="shared" si="27"/>
        <v>0.5</v>
      </c>
      <c r="BJ51" s="472" t="e">
        <f t="shared" si="28"/>
        <v>#DIV/0!</v>
      </c>
      <c r="BK51" s="472"/>
      <c r="BL51" s="533">
        <f t="shared" si="6"/>
        <v>1</v>
      </c>
      <c r="BM51" s="533" t="str">
        <f t="shared" si="7"/>
        <v>No Prog ni Ejec</v>
      </c>
      <c r="BN51" s="533">
        <f t="shared" si="8"/>
        <v>1</v>
      </c>
      <c r="BO51" s="533" t="str">
        <f t="shared" si="9"/>
        <v>No Prog ni Ejec</v>
      </c>
      <c r="BP51" s="533">
        <f t="shared" si="29"/>
        <v>0</v>
      </c>
      <c r="BQ51" s="533" t="str">
        <f t="shared" si="30"/>
        <v>No Prog ni Ejec</v>
      </c>
      <c r="BR51" s="533">
        <f t="shared" si="10"/>
        <v>0</v>
      </c>
      <c r="BS51" s="533" t="str">
        <f t="shared" si="11"/>
        <v>No Prog ni Ejec</v>
      </c>
      <c r="BT51" s="507">
        <f t="shared" si="14"/>
        <v>7</v>
      </c>
      <c r="BU51" s="481" t="str">
        <f t="shared" si="36"/>
        <v>Publicación Giro Directo Régimen Subsidiado</v>
      </c>
      <c r="BV51" s="482">
        <f t="shared" si="13"/>
        <v>0</v>
      </c>
      <c r="BW51" s="479"/>
      <c r="BX51" s="479"/>
      <c r="BY51" s="479"/>
      <c r="BZ51" s="479"/>
      <c r="CA51" s="479"/>
      <c r="CB51" s="479"/>
      <c r="CC51" s="479"/>
    </row>
    <row r="52" spans="1:81" s="428" customFormat="1" ht="63.75" x14ac:dyDescent="0.25">
      <c r="A52" s="468">
        <v>11400</v>
      </c>
      <c r="B52" s="469" t="s">
        <v>26</v>
      </c>
      <c r="C52" s="470" t="s">
        <v>188</v>
      </c>
      <c r="D52" s="469" t="s">
        <v>144</v>
      </c>
      <c r="E52" s="470" t="s">
        <v>484</v>
      </c>
      <c r="F52" s="469" t="s">
        <v>195</v>
      </c>
      <c r="G52" s="471" t="s">
        <v>123</v>
      </c>
      <c r="H52" s="472">
        <v>1</v>
      </c>
      <c r="I52" s="470" t="s">
        <v>485</v>
      </c>
      <c r="J52" s="469" t="s">
        <v>196</v>
      </c>
      <c r="K52" s="670">
        <v>164378848</v>
      </c>
      <c r="L52" s="474">
        <v>1</v>
      </c>
      <c r="M52" s="469" t="s">
        <v>46</v>
      </c>
      <c r="N52" s="469" t="s">
        <v>68</v>
      </c>
      <c r="O52" s="469" t="s">
        <v>21</v>
      </c>
      <c r="P52" s="469" t="s">
        <v>36</v>
      </c>
      <c r="Q52" s="469" t="s">
        <v>216</v>
      </c>
      <c r="R52" s="469" t="s">
        <v>235</v>
      </c>
      <c r="S52" s="469" t="s">
        <v>99</v>
      </c>
      <c r="T52" s="474">
        <v>1</v>
      </c>
      <c r="U52" s="475" t="str">
        <f t="shared" si="15"/>
        <v>Trámite de prestaciones económicas REX</v>
      </c>
      <c r="V52" s="476">
        <f>+K52</f>
        <v>164378848</v>
      </c>
      <c r="W52" s="477" t="s">
        <v>114</v>
      </c>
      <c r="X52" s="472">
        <v>0.25</v>
      </c>
      <c r="Y52" s="484" t="str">
        <f t="shared" si="33"/>
        <v>Trámite de prestaciones económicas REX</v>
      </c>
      <c r="Z52" s="473">
        <v>46231551</v>
      </c>
      <c r="AA52" s="526">
        <f>(520/910)*0.25</f>
        <v>0.14285714285714285</v>
      </c>
      <c r="AB52" s="563">
        <f>17934729-171228</f>
        <v>17763501</v>
      </c>
      <c r="AC52" s="478">
        <f t="shared" si="17"/>
        <v>0.5714285714285714</v>
      </c>
      <c r="AD52" s="478">
        <f>+(AB52/Z52)</f>
        <v>0.38422896519305616</v>
      </c>
      <c r="AE52" s="478">
        <f t="shared" si="19"/>
        <v>0.14285714285714285</v>
      </c>
      <c r="AF52" s="478">
        <f>+(AB52/V52)</f>
        <v>0.10806439646054704</v>
      </c>
      <c r="AG52" s="483"/>
      <c r="AH52" s="472">
        <v>0.25</v>
      </c>
      <c r="AI52" s="484" t="str">
        <f t="shared" si="34"/>
        <v>Trámite de prestaciones económicas REX</v>
      </c>
      <c r="AJ52" s="473">
        <v>46231551</v>
      </c>
      <c r="AK52" s="739">
        <f>(619/891)*0.25</f>
        <v>0.17368125701459033</v>
      </c>
      <c r="AL52" s="742">
        <v>27650517</v>
      </c>
      <c r="AM52" s="478">
        <f t="shared" si="20"/>
        <v>0.69472502805836134</v>
      </c>
      <c r="AN52" s="478">
        <f>+(AL52/AJ52)</f>
        <v>0.59808759174010839</v>
      </c>
      <c r="AO52" s="478">
        <f>+(AK52+AA52)/T52</f>
        <v>0.31653839987173316</v>
      </c>
      <c r="AP52" s="478">
        <f>+(AL52+AB52)/V52</f>
        <v>0.27627653163745253</v>
      </c>
      <c r="AQ52" s="478">
        <f>+AL52/V52</f>
        <v>0.16821213517690548</v>
      </c>
      <c r="AR52" s="472">
        <v>0.25</v>
      </c>
      <c r="AS52" s="484" t="str">
        <f t="shared" si="31"/>
        <v>Trámite de prestaciones económicas REX</v>
      </c>
      <c r="AT52" s="473">
        <v>41094712</v>
      </c>
      <c r="AU52" s="479"/>
      <c r="AV52" s="479"/>
      <c r="AW52" s="478">
        <f t="shared" si="21"/>
        <v>0</v>
      </c>
      <c r="AX52" s="478">
        <f t="shared" si="22"/>
        <v>0</v>
      </c>
      <c r="AY52" s="478">
        <f t="shared" si="23"/>
        <v>0.31653839987173316</v>
      </c>
      <c r="AZ52" s="478">
        <f t="shared" si="24"/>
        <v>0.27627653163745253</v>
      </c>
      <c r="BA52" s="478"/>
      <c r="BB52" s="472">
        <v>0.25</v>
      </c>
      <c r="BC52" s="484" t="str">
        <f t="shared" si="32"/>
        <v>Trámite de prestaciones económicas REX</v>
      </c>
      <c r="BD52" s="473">
        <v>30821034</v>
      </c>
      <c r="BE52" s="479"/>
      <c r="BF52" s="479"/>
      <c r="BG52" s="472">
        <f t="shared" si="25"/>
        <v>0</v>
      </c>
      <c r="BH52" s="472">
        <f t="shared" si="26"/>
        <v>0</v>
      </c>
      <c r="BI52" s="472">
        <f t="shared" si="27"/>
        <v>0.31653839987173316</v>
      </c>
      <c r="BJ52" s="472">
        <f t="shared" si="28"/>
        <v>0.27627653163745253</v>
      </c>
      <c r="BK52" s="472"/>
      <c r="BL52" s="533">
        <f t="shared" si="6"/>
        <v>0.5714285714285714</v>
      </c>
      <c r="BM52" s="533">
        <f t="shared" si="7"/>
        <v>0.38422896519305616</v>
      </c>
      <c r="BN52" s="533">
        <f t="shared" si="8"/>
        <v>0.69472502805836134</v>
      </c>
      <c r="BO52" s="533">
        <f t="shared" si="9"/>
        <v>0.59808759174010839</v>
      </c>
      <c r="BP52" s="533">
        <f t="shared" si="29"/>
        <v>0</v>
      </c>
      <c r="BQ52" s="533">
        <f t="shared" si="30"/>
        <v>0</v>
      </c>
      <c r="BR52" s="533">
        <f t="shared" si="10"/>
        <v>0</v>
      </c>
      <c r="BS52" s="533">
        <f t="shared" si="11"/>
        <v>0</v>
      </c>
      <c r="BT52" s="480">
        <f t="shared" si="14"/>
        <v>0.58333333333333337</v>
      </c>
      <c r="BU52" s="481" t="str">
        <f t="shared" si="36"/>
        <v>Trámite de prestaciones económicas REX</v>
      </c>
      <c r="BV52" s="482">
        <f>+(Z52+AJ52+(AT52/3))</f>
        <v>106161339.33333333</v>
      </c>
      <c r="BW52" s="479"/>
      <c r="BX52" s="479"/>
      <c r="BY52" s="479"/>
      <c r="BZ52" s="479"/>
      <c r="CA52" s="479"/>
      <c r="CB52" s="479"/>
      <c r="CC52" s="479"/>
    </row>
    <row r="53" spans="1:81" s="428" customFormat="1" ht="63.75" x14ac:dyDescent="0.25">
      <c r="A53" s="468">
        <v>11400</v>
      </c>
      <c r="B53" s="469" t="s">
        <v>26</v>
      </c>
      <c r="C53" s="470" t="s">
        <v>188</v>
      </c>
      <c r="D53" s="469" t="s">
        <v>144</v>
      </c>
      <c r="E53" s="470" t="s">
        <v>484</v>
      </c>
      <c r="F53" s="469" t="s">
        <v>195</v>
      </c>
      <c r="G53" s="471" t="s">
        <v>123</v>
      </c>
      <c r="H53" s="472">
        <v>1</v>
      </c>
      <c r="I53" s="470" t="s">
        <v>486</v>
      </c>
      <c r="J53" s="469" t="s">
        <v>197</v>
      </c>
      <c r="K53" s="473">
        <v>48960000</v>
      </c>
      <c r="L53" s="474">
        <v>1</v>
      </c>
      <c r="M53" s="469" t="s">
        <v>46</v>
      </c>
      <c r="N53" s="469" t="s">
        <v>68</v>
      </c>
      <c r="O53" s="469" t="s">
        <v>21</v>
      </c>
      <c r="P53" s="469" t="s">
        <v>36</v>
      </c>
      <c r="Q53" s="469" t="s">
        <v>216</v>
      </c>
      <c r="R53" s="469" t="s">
        <v>236</v>
      </c>
      <c r="S53" s="469" t="s">
        <v>99</v>
      </c>
      <c r="T53" s="474">
        <v>1</v>
      </c>
      <c r="U53" s="475" t="str">
        <f t="shared" si="15"/>
        <v>Trámite de devolución de aportes REX</v>
      </c>
      <c r="V53" s="476">
        <f t="shared" si="16"/>
        <v>48960000</v>
      </c>
      <c r="W53" s="477" t="s">
        <v>114</v>
      </c>
      <c r="X53" s="472">
        <v>0.25</v>
      </c>
      <c r="Y53" s="484" t="str">
        <f t="shared" si="33"/>
        <v>Trámite de devolución de aportes REX</v>
      </c>
      <c r="Z53" s="473">
        <v>12240000</v>
      </c>
      <c r="AA53" s="526">
        <f>(128/215)*0.25</f>
        <v>0.14883720930232558</v>
      </c>
      <c r="AB53" s="562">
        <v>7362803</v>
      </c>
      <c r="AC53" s="478">
        <f t="shared" si="17"/>
        <v>0.59534883720930232</v>
      </c>
      <c r="AD53" s="478">
        <f t="shared" si="18"/>
        <v>0.60153619281045756</v>
      </c>
      <c r="AE53" s="478">
        <f t="shared" si="19"/>
        <v>0.14883720930232558</v>
      </c>
      <c r="AF53" s="478">
        <f t="shared" si="0"/>
        <v>0.15038404820261439</v>
      </c>
      <c r="AG53" s="483"/>
      <c r="AH53" s="472">
        <v>0.25</v>
      </c>
      <c r="AI53" s="484" t="str">
        <f t="shared" si="34"/>
        <v>Trámite de devolución de aportes REX</v>
      </c>
      <c r="AJ53" s="473">
        <v>12240000</v>
      </c>
      <c r="AK53" s="739">
        <f>(229/313)*0.25</f>
        <v>0.18290734824281149</v>
      </c>
      <c r="AL53" s="742">
        <v>15410517</v>
      </c>
      <c r="AM53" s="478">
        <f t="shared" si="20"/>
        <v>0.73162939297124596</v>
      </c>
      <c r="AN53" s="478">
        <f t="shared" si="1"/>
        <v>1.2590291666666666</v>
      </c>
      <c r="AO53" s="478">
        <f t="shared" si="2"/>
        <v>0.3317445575451371</v>
      </c>
      <c r="AP53" s="478">
        <f t="shared" si="3"/>
        <v>0.46514133986928102</v>
      </c>
      <c r="AQ53" s="478"/>
      <c r="AR53" s="472">
        <v>0.25</v>
      </c>
      <c r="AS53" s="484" t="str">
        <f t="shared" si="31"/>
        <v>Trámite de devolución de aportes REX</v>
      </c>
      <c r="AT53" s="473">
        <v>12240000</v>
      </c>
      <c r="AU53" s="479"/>
      <c r="AV53" s="479"/>
      <c r="AW53" s="478">
        <f t="shared" si="21"/>
        <v>0</v>
      </c>
      <c r="AX53" s="478">
        <f t="shared" si="22"/>
        <v>0</v>
      </c>
      <c r="AY53" s="478">
        <f t="shared" si="23"/>
        <v>0.3317445575451371</v>
      </c>
      <c r="AZ53" s="478">
        <f t="shared" si="24"/>
        <v>0.46514133986928102</v>
      </c>
      <c r="BA53" s="478"/>
      <c r="BB53" s="472">
        <v>0.25</v>
      </c>
      <c r="BC53" s="484" t="str">
        <f t="shared" si="32"/>
        <v>Trámite de devolución de aportes REX</v>
      </c>
      <c r="BD53" s="473">
        <v>12240000</v>
      </c>
      <c r="BE53" s="479"/>
      <c r="BF53" s="479"/>
      <c r="BG53" s="472">
        <f t="shared" si="25"/>
        <v>0</v>
      </c>
      <c r="BH53" s="472">
        <f t="shared" si="26"/>
        <v>0</v>
      </c>
      <c r="BI53" s="472">
        <f t="shared" si="27"/>
        <v>0.3317445575451371</v>
      </c>
      <c r="BJ53" s="472">
        <f t="shared" si="28"/>
        <v>0.46514133986928102</v>
      </c>
      <c r="BK53" s="472"/>
      <c r="BL53" s="533">
        <f t="shared" si="6"/>
        <v>0.59534883720930232</v>
      </c>
      <c r="BM53" s="533">
        <f t="shared" si="7"/>
        <v>0.60153619281045756</v>
      </c>
      <c r="BN53" s="533">
        <f t="shared" si="8"/>
        <v>0.73162939297124596</v>
      </c>
      <c r="BO53" s="533">
        <f t="shared" si="9"/>
        <v>1.2590291666666666</v>
      </c>
      <c r="BP53" s="533">
        <f t="shared" si="29"/>
        <v>0</v>
      </c>
      <c r="BQ53" s="533">
        <f t="shared" si="30"/>
        <v>0</v>
      </c>
      <c r="BR53" s="533">
        <f t="shared" si="10"/>
        <v>0</v>
      </c>
      <c r="BS53" s="533">
        <f t="shared" si="11"/>
        <v>0</v>
      </c>
      <c r="BT53" s="480">
        <f t="shared" si="14"/>
        <v>0.58333333333333337</v>
      </c>
      <c r="BU53" s="481" t="str">
        <f t="shared" si="36"/>
        <v>Trámite de devolución de aportes REX</v>
      </c>
      <c r="BV53" s="482">
        <f t="shared" si="13"/>
        <v>28560000</v>
      </c>
      <c r="BW53" s="479"/>
      <c r="BX53" s="479"/>
      <c r="BY53" s="479"/>
      <c r="BZ53" s="479"/>
      <c r="CA53" s="479"/>
      <c r="CB53" s="479"/>
      <c r="CC53" s="479"/>
    </row>
    <row r="54" spans="1:81" s="428" customFormat="1" ht="63.75" x14ac:dyDescent="0.25">
      <c r="A54" s="468">
        <v>11400</v>
      </c>
      <c r="B54" s="469" t="s">
        <v>26</v>
      </c>
      <c r="C54" s="470" t="s">
        <v>188</v>
      </c>
      <c r="D54" s="469" t="s">
        <v>144</v>
      </c>
      <c r="E54" s="470" t="s">
        <v>487</v>
      </c>
      <c r="F54" s="469" t="s">
        <v>476</v>
      </c>
      <c r="G54" s="471" t="s">
        <v>123</v>
      </c>
      <c r="H54" s="472">
        <v>1</v>
      </c>
      <c r="I54" s="470" t="s">
        <v>488</v>
      </c>
      <c r="J54" s="469" t="s">
        <v>473</v>
      </c>
      <c r="K54" s="670">
        <v>0</v>
      </c>
      <c r="L54" s="474">
        <v>1</v>
      </c>
      <c r="M54" s="469" t="s">
        <v>46</v>
      </c>
      <c r="N54" s="469" t="s">
        <v>68</v>
      </c>
      <c r="O54" s="469" t="s">
        <v>21</v>
      </c>
      <c r="P54" s="469" t="s">
        <v>36</v>
      </c>
      <c r="Q54" s="469" t="s">
        <v>216</v>
      </c>
      <c r="R54" s="469" t="s">
        <v>474</v>
      </c>
      <c r="S54" s="469" t="s">
        <v>99</v>
      </c>
      <c r="T54" s="474">
        <v>1</v>
      </c>
      <c r="U54" s="475" t="str">
        <f t="shared" si="15"/>
        <v>Elaboración de solicitudes de aclaración sobre apropiaciones sin justa causa</v>
      </c>
      <c r="V54" s="476">
        <v>0</v>
      </c>
      <c r="W54" s="477" t="s">
        <v>117</v>
      </c>
      <c r="X54" s="472">
        <v>0.25</v>
      </c>
      <c r="Y54" s="484" t="str">
        <f t="shared" si="33"/>
        <v>Elaboración de solicitudes de aclaración sobre apropiaciones sin justa causa</v>
      </c>
      <c r="Z54" s="473">
        <v>0</v>
      </c>
      <c r="AA54" s="526">
        <f>(140/140)*0.25</f>
        <v>0.25</v>
      </c>
      <c r="AB54" s="482">
        <v>0</v>
      </c>
      <c r="AC54" s="478">
        <f t="shared" si="17"/>
        <v>1</v>
      </c>
      <c r="AD54" s="478" t="e">
        <f>+(AB54/Z54)</f>
        <v>#DIV/0!</v>
      </c>
      <c r="AE54" s="478">
        <f t="shared" si="19"/>
        <v>0.25</v>
      </c>
      <c r="AF54" s="478" t="e">
        <f>+(AB54/V54)</f>
        <v>#DIV/0!</v>
      </c>
      <c r="AG54" s="483"/>
      <c r="AH54" s="472">
        <v>0.25</v>
      </c>
      <c r="AI54" s="484" t="str">
        <f t="shared" si="34"/>
        <v>Elaboración de solicitudes de aclaración sobre apropiaciones sin justa causa</v>
      </c>
      <c r="AJ54" s="473">
        <v>0</v>
      </c>
      <c r="AK54" s="745">
        <f>(133/133)*25%</f>
        <v>0.25</v>
      </c>
      <c r="AL54" s="736">
        <v>0</v>
      </c>
      <c r="AM54" s="478">
        <f t="shared" si="20"/>
        <v>1</v>
      </c>
      <c r="AN54" s="478" t="e">
        <f>+(AL54/AJ54)</f>
        <v>#DIV/0!</v>
      </c>
      <c r="AO54" s="478">
        <f t="shared" si="2"/>
        <v>0.5</v>
      </c>
      <c r="AP54" s="511" t="e">
        <f>+(AL54+AB54)/V54</f>
        <v>#DIV/0!</v>
      </c>
      <c r="AQ54" s="852" t="s">
        <v>1181</v>
      </c>
      <c r="AR54" s="472">
        <v>0.25</v>
      </c>
      <c r="AS54" s="484" t="str">
        <f t="shared" si="31"/>
        <v>Elaboración de solicitudes de aclaración sobre apropiaciones sin justa causa</v>
      </c>
      <c r="AT54" s="473">
        <v>0</v>
      </c>
      <c r="AU54" s="479"/>
      <c r="AV54" s="479"/>
      <c r="AW54" s="478">
        <f t="shared" si="21"/>
        <v>0</v>
      </c>
      <c r="AX54" s="478" t="e">
        <f>+(AV54/AT54)</f>
        <v>#DIV/0!</v>
      </c>
      <c r="AY54" s="478">
        <f t="shared" si="23"/>
        <v>0.5</v>
      </c>
      <c r="AZ54" s="511" t="e">
        <f>+(AL54+AB54+AV54)/V54</f>
        <v>#DIV/0!</v>
      </c>
      <c r="BA54" s="511"/>
      <c r="BB54" s="472">
        <v>0.25</v>
      </c>
      <c r="BC54" s="484" t="str">
        <f t="shared" si="32"/>
        <v>Elaboración de solicitudes de aclaración sobre apropiaciones sin justa causa</v>
      </c>
      <c r="BD54" s="473">
        <v>0</v>
      </c>
      <c r="BE54" s="479"/>
      <c r="BF54" s="479"/>
      <c r="BG54" s="472">
        <f t="shared" si="25"/>
        <v>0</v>
      </c>
      <c r="BH54" s="472" t="e">
        <f>+(BF54/BD54)</f>
        <v>#DIV/0!</v>
      </c>
      <c r="BI54" s="472">
        <f t="shared" si="27"/>
        <v>0.5</v>
      </c>
      <c r="BJ54" s="512" t="e">
        <f>+(AL54+AB54+AV54+BF54)/V54</f>
        <v>#DIV/0!</v>
      </c>
      <c r="BK54" s="512"/>
      <c r="BL54" s="533">
        <f t="shared" si="6"/>
        <v>1</v>
      </c>
      <c r="BM54" s="533" t="str">
        <f>IF(AND(Z54=0,AB54=0),"No Prog ni Ejec",IF(Z54=0,CONCATENATE("No Prog, Ejec=  ",AB54),AB54/Z54))</f>
        <v>No Prog ni Ejec</v>
      </c>
      <c r="BN54" s="533">
        <f t="shared" si="8"/>
        <v>1</v>
      </c>
      <c r="BO54" s="533" t="str">
        <f>IF(AND(AJ52=0,AL54=0),"No Prog ni Ejec",IF(AJ54=0,CONCATENATE("No Prog, Ejec=  ",AL54),AL54/AJ54))</f>
        <v>No Prog, Ejec=  0</v>
      </c>
      <c r="BP54" s="533">
        <f t="shared" si="29"/>
        <v>0</v>
      </c>
      <c r="BQ54" s="533" t="str">
        <f>IF(AND(AT54=0,AV54=0),"No Prog ni Ejec",IF(AT54=0,CONCATENATE("No Prog, Ejec=  ",AV54),AV54/AT54))</f>
        <v>No Prog ni Ejec</v>
      </c>
      <c r="BR54" s="533">
        <f t="shared" si="10"/>
        <v>0</v>
      </c>
      <c r="BS54" s="533" t="str">
        <f>IF(AND(BD54=0,BF54=0),"No Prog ni Ejec",IF(BD54=0,CONCATENATE("No Prog, Ejec=  ",BF54),BF54/BD54))</f>
        <v>No Prog ni Ejec</v>
      </c>
      <c r="BT54" s="480">
        <f t="shared" si="14"/>
        <v>0.58333333333333337</v>
      </c>
      <c r="BU54" s="481" t="str">
        <f t="shared" si="36"/>
        <v>Elaboración de solicitudes de aclaración sobre apropiaciones sin justa causa</v>
      </c>
      <c r="BV54" s="482">
        <f t="shared" si="13"/>
        <v>0</v>
      </c>
      <c r="BW54" s="479"/>
      <c r="BX54" s="479"/>
      <c r="BY54" s="479"/>
      <c r="BZ54" s="479"/>
      <c r="CA54" s="479"/>
      <c r="CB54" s="479"/>
      <c r="CC54" s="479"/>
    </row>
    <row r="55" spans="1:81" s="428" customFormat="1" ht="76.5" x14ac:dyDescent="0.25">
      <c r="A55" s="468">
        <v>11400</v>
      </c>
      <c r="B55" s="469" t="s">
        <v>26</v>
      </c>
      <c r="C55" s="470" t="s">
        <v>188</v>
      </c>
      <c r="D55" s="469" t="s">
        <v>144</v>
      </c>
      <c r="E55" s="470" t="s">
        <v>489</v>
      </c>
      <c r="F55" s="469" t="s">
        <v>198</v>
      </c>
      <c r="G55" s="471" t="s">
        <v>123</v>
      </c>
      <c r="H55" s="472">
        <v>1</v>
      </c>
      <c r="I55" s="470" t="s">
        <v>490</v>
      </c>
      <c r="J55" s="469" t="s">
        <v>199</v>
      </c>
      <c r="K55" s="473">
        <v>0</v>
      </c>
      <c r="L55" s="474">
        <v>1</v>
      </c>
      <c r="M55" s="469" t="s">
        <v>46</v>
      </c>
      <c r="N55" s="469" t="s">
        <v>68</v>
      </c>
      <c r="O55" s="469" t="s">
        <v>21</v>
      </c>
      <c r="P55" s="469" t="s">
        <v>36</v>
      </c>
      <c r="Q55" s="469" t="s">
        <v>223</v>
      </c>
      <c r="R55" s="469" t="s">
        <v>475</v>
      </c>
      <c r="S55" s="469" t="s">
        <v>99</v>
      </c>
      <c r="T55" s="474">
        <v>1</v>
      </c>
      <c r="U55" s="475" t="str">
        <f t="shared" si="15"/>
        <v>Elaboración de Informes de auditoría de reintegro de recursos</v>
      </c>
      <c r="V55" s="476">
        <f t="shared" si="16"/>
        <v>0</v>
      </c>
      <c r="W55" s="477" t="s">
        <v>117</v>
      </c>
      <c r="X55" s="472">
        <v>0.25</v>
      </c>
      <c r="Y55" s="484" t="str">
        <f t="shared" si="33"/>
        <v>Elaboración de Informes de auditoría de reintegro de recursos</v>
      </c>
      <c r="Z55" s="473">
        <v>0</v>
      </c>
      <c r="AA55" s="474">
        <v>0</v>
      </c>
      <c r="AB55" s="482">
        <v>0</v>
      </c>
      <c r="AC55" s="478">
        <f t="shared" si="17"/>
        <v>0</v>
      </c>
      <c r="AD55" s="478" t="e">
        <f>+(AB55/Z55)</f>
        <v>#DIV/0!</v>
      </c>
      <c r="AE55" s="478">
        <f t="shared" si="19"/>
        <v>0</v>
      </c>
      <c r="AF55" s="478" t="e">
        <f t="shared" si="0"/>
        <v>#DIV/0!</v>
      </c>
      <c r="AG55" s="513" t="s">
        <v>910</v>
      </c>
      <c r="AH55" s="472">
        <v>0.25</v>
      </c>
      <c r="AI55" s="484" t="str">
        <f t="shared" si="34"/>
        <v>Elaboración de Informes de auditoría de reintegro de recursos</v>
      </c>
      <c r="AJ55" s="473">
        <v>0</v>
      </c>
      <c r="AK55" s="745">
        <f>(12/12)*0.25</f>
        <v>0.25</v>
      </c>
      <c r="AL55" s="736">
        <v>0</v>
      </c>
      <c r="AM55" s="478">
        <f t="shared" si="20"/>
        <v>1</v>
      </c>
      <c r="AN55" s="478" t="e">
        <f t="shared" si="1"/>
        <v>#DIV/0!</v>
      </c>
      <c r="AO55" s="478">
        <f t="shared" si="2"/>
        <v>0.25</v>
      </c>
      <c r="AP55" s="478" t="e">
        <f t="shared" si="3"/>
        <v>#DIV/0!</v>
      </c>
      <c r="AQ55" s="852" t="s">
        <v>1182</v>
      </c>
      <c r="AR55" s="472">
        <v>0.25</v>
      </c>
      <c r="AS55" s="484" t="str">
        <f t="shared" si="31"/>
        <v>Elaboración de Informes de auditoría de reintegro de recursos</v>
      </c>
      <c r="AT55" s="473">
        <v>0</v>
      </c>
      <c r="AU55" s="479"/>
      <c r="AV55" s="479"/>
      <c r="AW55" s="478">
        <f t="shared" si="21"/>
        <v>0</v>
      </c>
      <c r="AX55" s="478" t="e">
        <f t="shared" si="22"/>
        <v>#DIV/0!</v>
      </c>
      <c r="AY55" s="478">
        <f t="shared" si="23"/>
        <v>0.25</v>
      </c>
      <c r="AZ55" s="478" t="e">
        <f t="shared" si="24"/>
        <v>#DIV/0!</v>
      </c>
      <c r="BA55" s="478"/>
      <c r="BB55" s="472">
        <v>0.25</v>
      </c>
      <c r="BC55" s="484" t="str">
        <f t="shared" si="32"/>
        <v>Elaboración de Informes de auditoría de reintegro de recursos</v>
      </c>
      <c r="BD55" s="473">
        <v>0</v>
      </c>
      <c r="BE55" s="479"/>
      <c r="BF55" s="479"/>
      <c r="BG55" s="472">
        <f t="shared" si="25"/>
        <v>0</v>
      </c>
      <c r="BH55" s="472" t="e">
        <f t="shared" si="26"/>
        <v>#DIV/0!</v>
      </c>
      <c r="BI55" s="472">
        <f t="shared" si="27"/>
        <v>0.25</v>
      </c>
      <c r="BJ55" s="472" t="e">
        <f t="shared" si="28"/>
        <v>#DIV/0!</v>
      </c>
      <c r="BK55" s="472"/>
      <c r="BL55" s="533">
        <f t="shared" si="6"/>
        <v>0</v>
      </c>
      <c r="BM55" s="533" t="str">
        <f t="shared" si="7"/>
        <v>No Prog ni Ejec</v>
      </c>
      <c r="BN55" s="533">
        <f t="shared" si="8"/>
        <v>1</v>
      </c>
      <c r="BO55" s="533" t="str">
        <f t="shared" si="9"/>
        <v>No Prog ni Ejec</v>
      </c>
      <c r="BP55" s="533">
        <f t="shared" si="29"/>
        <v>0</v>
      </c>
      <c r="BQ55" s="533" t="str">
        <f t="shared" si="30"/>
        <v>No Prog ni Ejec</v>
      </c>
      <c r="BR55" s="533">
        <f t="shared" si="10"/>
        <v>0</v>
      </c>
      <c r="BS55" s="533" t="str">
        <f t="shared" si="11"/>
        <v>No Prog ni Ejec</v>
      </c>
      <c r="BT55" s="480">
        <f t="shared" si="14"/>
        <v>0.58333333333333337</v>
      </c>
      <c r="BU55" s="481" t="str">
        <f t="shared" si="36"/>
        <v>Elaboración de Informes de auditoría de reintegro de recursos</v>
      </c>
      <c r="BV55" s="482">
        <f t="shared" si="13"/>
        <v>0</v>
      </c>
      <c r="BW55" s="479"/>
      <c r="BX55" s="479"/>
      <c r="BY55" s="479"/>
      <c r="BZ55" s="479"/>
      <c r="CA55" s="479"/>
      <c r="CB55" s="479"/>
      <c r="CC55" s="479"/>
    </row>
    <row r="56" spans="1:81" s="428" customFormat="1" ht="137.25" customHeight="1" x14ac:dyDescent="0.25">
      <c r="A56" s="468">
        <v>11400</v>
      </c>
      <c r="B56" s="469" t="s">
        <v>26</v>
      </c>
      <c r="C56" s="470" t="s">
        <v>188</v>
      </c>
      <c r="D56" s="469" t="s">
        <v>144</v>
      </c>
      <c r="E56" s="470" t="s">
        <v>491</v>
      </c>
      <c r="F56" s="469" t="s">
        <v>478</v>
      </c>
      <c r="G56" s="471" t="s">
        <v>123</v>
      </c>
      <c r="H56" s="472">
        <v>1</v>
      </c>
      <c r="I56" s="470" t="s">
        <v>492</v>
      </c>
      <c r="J56" s="469" t="s">
        <v>477</v>
      </c>
      <c r="K56" s="473">
        <v>0</v>
      </c>
      <c r="L56" s="474">
        <v>1</v>
      </c>
      <c r="M56" s="469" t="s">
        <v>46</v>
      </c>
      <c r="N56" s="469" t="s">
        <v>68</v>
      </c>
      <c r="O56" s="469" t="s">
        <v>21</v>
      </c>
      <c r="P56" s="469" t="s">
        <v>36</v>
      </c>
      <c r="Q56" s="469" t="s">
        <v>223</v>
      </c>
      <c r="R56" s="469" t="s">
        <v>507</v>
      </c>
      <c r="S56" s="469" t="s">
        <v>99</v>
      </c>
      <c r="T56" s="474">
        <v>1</v>
      </c>
      <c r="U56" s="475" t="str">
        <f t="shared" si="15"/>
        <v>Elaboración de comunicaciones con las conclusiones del procedimiento de la auditoría de reintegro de recursos</v>
      </c>
      <c r="V56" s="476">
        <f t="shared" si="16"/>
        <v>0</v>
      </c>
      <c r="W56" s="477" t="s">
        <v>117</v>
      </c>
      <c r="X56" s="472">
        <v>0.25</v>
      </c>
      <c r="Y56" s="484" t="str">
        <f t="shared" si="33"/>
        <v>Elaboración de comunicaciones con las conclusiones del procedimiento de la auditoría de reintegro de recursos</v>
      </c>
      <c r="Z56" s="473">
        <v>0</v>
      </c>
      <c r="AA56" s="472">
        <f>(62/62)*0.25</f>
        <v>0.25</v>
      </c>
      <c r="AB56" s="482">
        <v>0</v>
      </c>
      <c r="AC56" s="478">
        <f t="shared" si="17"/>
        <v>1</v>
      </c>
      <c r="AD56" s="478" t="e">
        <f t="shared" si="18"/>
        <v>#DIV/0!</v>
      </c>
      <c r="AE56" s="478">
        <f t="shared" si="19"/>
        <v>0.25</v>
      </c>
      <c r="AF56" s="478" t="e">
        <f t="shared" si="0"/>
        <v>#DIV/0!</v>
      </c>
      <c r="AG56" s="483"/>
      <c r="AH56" s="472">
        <v>0.25</v>
      </c>
      <c r="AI56" s="484" t="str">
        <f t="shared" si="34"/>
        <v>Elaboración de comunicaciones con las conclusiones del procedimiento de la auditoría de reintegro de recursos</v>
      </c>
      <c r="AJ56" s="473">
        <v>0</v>
      </c>
      <c r="AK56" s="740">
        <f>(127/127)*0.25</f>
        <v>0.25</v>
      </c>
      <c r="AL56" s="736">
        <v>0</v>
      </c>
      <c r="AM56" s="478">
        <f t="shared" si="20"/>
        <v>1</v>
      </c>
      <c r="AN56" s="478" t="e">
        <f t="shared" si="1"/>
        <v>#DIV/0!</v>
      </c>
      <c r="AO56" s="478">
        <f t="shared" si="2"/>
        <v>0.5</v>
      </c>
      <c r="AP56" s="478" t="e">
        <f t="shared" si="3"/>
        <v>#DIV/0!</v>
      </c>
      <c r="AQ56" s="852" t="s">
        <v>1183</v>
      </c>
      <c r="AR56" s="472">
        <v>0.25</v>
      </c>
      <c r="AS56" s="484" t="str">
        <f t="shared" si="31"/>
        <v>Elaboración de comunicaciones con las conclusiones del procedimiento de la auditoría de reintegro de recursos</v>
      </c>
      <c r="AT56" s="473">
        <v>0</v>
      </c>
      <c r="AU56" s="479"/>
      <c r="AV56" s="479"/>
      <c r="AW56" s="478">
        <f t="shared" si="21"/>
        <v>0</v>
      </c>
      <c r="AX56" s="478" t="e">
        <f t="shared" si="22"/>
        <v>#DIV/0!</v>
      </c>
      <c r="AY56" s="478">
        <f t="shared" si="23"/>
        <v>0.5</v>
      </c>
      <c r="AZ56" s="478" t="e">
        <f t="shared" si="24"/>
        <v>#DIV/0!</v>
      </c>
      <c r="BA56" s="478"/>
      <c r="BB56" s="472">
        <v>0.25</v>
      </c>
      <c r="BC56" s="484" t="str">
        <f t="shared" si="32"/>
        <v>Elaboración de comunicaciones con las conclusiones del procedimiento de la auditoría de reintegro de recursos</v>
      </c>
      <c r="BD56" s="473">
        <v>0</v>
      </c>
      <c r="BE56" s="479"/>
      <c r="BF56" s="479"/>
      <c r="BG56" s="472">
        <f t="shared" si="25"/>
        <v>0</v>
      </c>
      <c r="BH56" s="472" t="e">
        <f t="shared" si="26"/>
        <v>#DIV/0!</v>
      </c>
      <c r="BI56" s="472">
        <f t="shared" si="27"/>
        <v>0.5</v>
      </c>
      <c r="BJ56" s="472" t="e">
        <f t="shared" si="28"/>
        <v>#DIV/0!</v>
      </c>
      <c r="BK56" s="472"/>
      <c r="BL56" s="533">
        <f t="shared" si="6"/>
        <v>1</v>
      </c>
      <c r="BM56" s="533" t="str">
        <f t="shared" si="7"/>
        <v>No Prog ni Ejec</v>
      </c>
      <c r="BN56" s="533">
        <f t="shared" si="8"/>
        <v>1</v>
      </c>
      <c r="BO56" s="533" t="str">
        <f t="shared" si="9"/>
        <v>No Prog ni Ejec</v>
      </c>
      <c r="BP56" s="533">
        <f t="shared" si="29"/>
        <v>0</v>
      </c>
      <c r="BQ56" s="533" t="str">
        <f t="shared" si="30"/>
        <v>No Prog ni Ejec</v>
      </c>
      <c r="BR56" s="533">
        <f t="shared" si="10"/>
        <v>0</v>
      </c>
      <c r="BS56" s="533" t="str">
        <f t="shared" si="11"/>
        <v>No Prog ni Ejec</v>
      </c>
      <c r="BT56" s="480">
        <f t="shared" si="14"/>
        <v>0.58333333333333337</v>
      </c>
      <c r="BU56" s="481" t="str">
        <f t="shared" si="36"/>
        <v>Elaboración de comunicaciones con las conclusiones del procedimiento de la auditoría de reintegro de recursos</v>
      </c>
      <c r="BV56" s="482">
        <f t="shared" si="13"/>
        <v>0</v>
      </c>
      <c r="BW56" s="479"/>
      <c r="BX56" s="479"/>
      <c r="BY56" s="479"/>
      <c r="BZ56" s="479"/>
      <c r="CA56" s="479"/>
      <c r="CB56" s="479"/>
      <c r="CC56" s="479"/>
    </row>
    <row r="57" spans="1:81" s="428" customFormat="1" ht="63.75" x14ac:dyDescent="0.25">
      <c r="A57" s="468">
        <v>11400</v>
      </c>
      <c r="B57" s="469" t="s">
        <v>26</v>
      </c>
      <c r="C57" s="470" t="s">
        <v>188</v>
      </c>
      <c r="D57" s="469" t="s">
        <v>144</v>
      </c>
      <c r="E57" s="470" t="s">
        <v>493</v>
      </c>
      <c r="F57" s="469" t="s">
        <v>200</v>
      </c>
      <c r="G57" s="471" t="s">
        <v>123</v>
      </c>
      <c r="H57" s="472">
        <v>1</v>
      </c>
      <c r="I57" s="470" t="s">
        <v>494</v>
      </c>
      <c r="J57" s="469" t="s">
        <v>201</v>
      </c>
      <c r="K57" s="473">
        <v>0</v>
      </c>
      <c r="L57" s="474">
        <v>1</v>
      </c>
      <c r="M57" s="469" t="s">
        <v>46</v>
      </c>
      <c r="N57" s="469" t="s">
        <v>68</v>
      </c>
      <c r="O57" s="469" t="s">
        <v>21</v>
      </c>
      <c r="P57" s="469" t="s">
        <v>36</v>
      </c>
      <c r="Q57" s="469" t="s">
        <v>223</v>
      </c>
      <c r="R57" s="469" t="s">
        <v>238</v>
      </c>
      <c r="S57" s="469" t="s">
        <v>99</v>
      </c>
      <c r="T57" s="474">
        <v>1</v>
      </c>
      <c r="U57" s="475" t="str">
        <f t="shared" si="15"/>
        <v>Solicitud de aclaraciones a las EPS con saldos a favor de ADRES en el proceso LMA</v>
      </c>
      <c r="V57" s="476">
        <f t="shared" si="16"/>
        <v>0</v>
      </c>
      <c r="W57" s="477" t="s">
        <v>117</v>
      </c>
      <c r="X57" s="472">
        <v>0.25</v>
      </c>
      <c r="Y57" s="484" t="str">
        <f t="shared" si="33"/>
        <v>Solicitud de aclaraciones a las EPS con saldos a favor de ADRES en el proceso LMA</v>
      </c>
      <c r="Z57" s="473">
        <v>0</v>
      </c>
      <c r="AA57" s="472">
        <f>(9/9)*0.25</f>
        <v>0.25</v>
      </c>
      <c r="AB57" s="482">
        <v>0</v>
      </c>
      <c r="AC57" s="478">
        <f t="shared" si="17"/>
        <v>1</v>
      </c>
      <c r="AD57" s="478" t="e">
        <f t="shared" si="18"/>
        <v>#DIV/0!</v>
      </c>
      <c r="AE57" s="478">
        <f t="shared" si="19"/>
        <v>0.25</v>
      </c>
      <c r="AF57" s="478" t="e">
        <f t="shared" si="0"/>
        <v>#DIV/0!</v>
      </c>
      <c r="AG57" s="483"/>
      <c r="AH57" s="472">
        <v>0.25</v>
      </c>
      <c r="AI57" s="484" t="str">
        <f t="shared" si="34"/>
        <v>Solicitud de aclaraciones a las EPS con saldos a favor de ADRES en el proceso LMA</v>
      </c>
      <c r="AJ57" s="473">
        <v>0</v>
      </c>
      <c r="AK57" s="740">
        <f>(11/11)*25%</f>
        <v>0.25</v>
      </c>
      <c r="AL57" s="736">
        <v>0</v>
      </c>
      <c r="AM57" s="478">
        <f t="shared" si="20"/>
        <v>1</v>
      </c>
      <c r="AN57" s="478" t="e">
        <f t="shared" si="1"/>
        <v>#DIV/0!</v>
      </c>
      <c r="AO57" s="478">
        <f t="shared" si="2"/>
        <v>0.5</v>
      </c>
      <c r="AP57" s="478" t="e">
        <f t="shared" si="3"/>
        <v>#DIV/0!</v>
      </c>
      <c r="AQ57" s="852" t="s">
        <v>1184</v>
      </c>
      <c r="AR57" s="472">
        <v>0.25</v>
      </c>
      <c r="AS57" s="484" t="str">
        <f t="shared" si="31"/>
        <v>Solicitud de aclaraciones a las EPS con saldos a favor de ADRES en el proceso LMA</v>
      </c>
      <c r="AT57" s="473">
        <v>0</v>
      </c>
      <c r="AU57" s="479"/>
      <c r="AV57" s="479"/>
      <c r="AW57" s="478">
        <f t="shared" si="21"/>
        <v>0</v>
      </c>
      <c r="AX57" s="478" t="e">
        <f t="shared" si="22"/>
        <v>#DIV/0!</v>
      </c>
      <c r="AY57" s="478">
        <f t="shared" si="23"/>
        <v>0.5</v>
      </c>
      <c r="AZ57" s="478" t="e">
        <f t="shared" si="24"/>
        <v>#DIV/0!</v>
      </c>
      <c r="BA57" s="478"/>
      <c r="BB57" s="472">
        <v>0.25</v>
      </c>
      <c r="BC57" s="484" t="str">
        <f t="shared" si="32"/>
        <v>Solicitud de aclaraciones a las EPS con saldos a favor de ADRES en el proceso LMA</v>
      </c>
      <c r="BD57" s="473">
        <v>0</v>
      </c>
      <c r="BE57" s="479"/>
      <c r="BF57" s="479"/>
      <c r="BG57" s="472">
        <f t="shared" si="25"/>
        <v>0</v>
      </c>
      <c r="BH57" s="472" t="e">
        <f t="shared" si="26"/>
        <v>#DIV/0!</v>
      </c>
      <c r="BI57" s="472">
        <f t="shared" si="27"/>
        <v>0.5</v>
      </c>
      <c r="BJ57" s="472" t="e">
        <f t="shared" si="28"/>
        <v>#DIV/0!</v>
      </c>
      <c r="BK57" s="472"/>
      <c r="BL57" s="533">
        <f t="shared" si="6"/>
        <v>1</v>
      </c>
      <c r="BM57" s="533" t="str">
        <f t="shared" si="7"/>
        <v>No Prog ni Ejec</v>
      </c>
      <c r="BN57" s="533">
        <f t="shared" si="8"/>
        <v>1</v>
      </c>
      <c r="BO57" s="533" t="str">
        <f t="shared" si="9"/>
        <v>No Prog ni Ejec</v>
      </c>
      <c r="BP57" s="533">
        <f t="shared" si="29"/>
        <v>0</v>
      </c>
      <c r="BQ57" s="533" t="str">
        <f t="shared" si="30"/>
        <v>No Prog ni Ejec</v>
      </c>
      <c r="BR57" s="533">
        <f t="shared" si="10"/>
        <v>0</v>
      </c>
      <c r="BS57" s="533" t="str">
        <f t="shared" si="11"/>
        <v>No Prog ni Ejec</v>
      </c>
      <c r="BT57" s="480">
        <f t="shared" si="14"/>
        <v>0.58333333333333337</v>
      </c>
      <c r="BU57" s="481" t="str">
        <f t="shared" si="36"/>
        <v>Solicitud de aclaraciones a las EPS con saldos a favor de ADRES en el proceso LMA</v>
      </c>
      <c r="BV57" s="482">
        <f t="shared" si="13"/>
        <v>0</v>
      </c>
      <c r="BW57" s="479"/>
      <c r="BX57" s="479"/>
      <c r="BY57" s="479"/>
      <c r="BZ57" s="479"/>
      <c r="CA57" s="479"/>
      <c r="CB57" s="479"/>
      <c r="CC57" s="479"/>
    </row>
    <row r="58" spans="1:81" s="428" customFormat="1" ht="63.75" x14ac:dyDescent="0.25">
      <c r="A58" s="468">
        <v>11400</v>
      </c>
      <c r="B58" s="469" t="s">
        <v>26</v>
      </c>
      <c r="C58" s="470" t="s">
        <v>188</v>
      </c>
      <c r="D58" s="469" t="s">
        <v>144</v>
      </c>
      <c r="E58" s="470" t="s">
        <v>495</v>
      </c>
      <c r="F58" s="469" t="s">
        <v>202</v>
      </c>
      <c r="G58" s="471" t="s">
        <v>124</v>
      </c>
      <c r="H58" s="470">
        <v>1</v>
      </c>
      <c r="I58" s="470" t="s">
        <v>496</v>
      </c>
      <c r="J58" s="469" t="s">
        <v>203</v>
      </c>
      <c r="K58" s="473">
        <v>0</v>
      </c>
      <c r="L58" s="474">
        <v>1</v>
      </c>
      <c r="M58" s="469" t="s">
        <v>46</v>
      </c>
      <c r="N58" s="469" t="s">
        <v>68</v>
      </c>
      <c r="O58" s="469" t="s">
        <v>34</v>
      </c>
      <c r="P58" s="469" t="s">
        <v>35</v>
      </c>
      <c r="Q58" s="469" t="s">
        <v>225</v>
      </c>
      <c r="R58" s="469" t="s">
        <v>508</v>
      </c>
      <c r="S58" s="469" t="s">
        <v>99</v>
      </c>
      <c r="T58" s="501">
        <v>1</v>
      </c>
      <c r="U58" s="475" t="str">
        <f t="shared" si="15"/>
        <v>No. De Compras de Carteras realizadas</v>
      </c>
      <c r="V58" s="476">
        <f t="shared" si="16"/>
        <v>0</v>
      </c>
      <c r="W58" s="477" t="s">
        <v>117</v>
      </c>
      <c r="X58" s="501">
        <v>0</v>
      </c>
      <c r="Y58" s="484" t="str">
        <f t="shared" si="33"/>
        <v>No. De Compras de Carteras realizadas</v>
      </c>
      <c r="Z58" s="473">
        <v>0</v>
      </c>
      <c r="AA58" s="501">
        <v>0</v>
      </c>
      <c r="AB58" s="473">
        <v>0</v>
      </c>
      <c r="AC58" s="478" t="e">
        <f t="shared" si="17"/>
        <v>#DIV/0!</v>
      </c>
      <c r="AD58" s="478" t="e">
        <f t="shared" si="18"/>
        <v>#DIV/0!</v>
      </c>
      <c r="AE58" s="478">
        <f t="shared" si="19"/>
        <v>0</v>
      </c>
      <c r="AF58" s="478" t="e">
        <f t="shared" si="0"/>
        <v>#DIV/0!</v>
      </c>
      <c r="AG58" s="483"/>
      <c r="AH58" s="501">
        <v>0</v>
      </c>
      <c r="AI58" s="484" t="str">
        <f t="shared" si="34"/>
        <v>No. De Compras de Carteras realizadas</v>
      </c>
      <c r="AJ58" s="473">
        <v>0</v>
      </c>
      <c r="AK58" s="658">
        <v>0</v>
      </c>
      <c r="AL58" s="658">
        <v>0</v>
      </c>
      <c r="AM58" s="478" t="e">
        <f t="shared" si="20"/>
        <v>#DIV/0!</v>
      </c>
      <c r="AN58" s="478" t="e">
        <f t="shared" si="1"/>
        <v>#DIV/0!</v>
      </c>
      <c r="AO58" s="478">
        <f t="shared" si="2"/>
        <v>0</v>
      </c>
      <c r="AP58" s="478" t="e">
        <f t="shared" si="3"/>
        <v>#DIV/0!</v>
      </c>
      <c r="AQ58" s="636" t="s">
        <v>1188</v>
      </c>
      <c r="AR58" s="501">
        <v>0</v>
      </c>
      <c r="AS58" s="484" t="str">
        <f t="shared" si="31"/>
        <v>No. De Compras de Carteras realizadas</v>
      </c>
      <c r="AT58" s="473">
        <v>0</v>
      </c>
      <c r="AU58" s="479"/>
      <c r="AV58" s="479"/>
      <c r="AW58" s="478" t="e">
        <f t="shared" si="21"/>
        <v>#DIV/0!</v>
      </c>
      <c r="AX58" s="478" t="e">
        <f t="shared" si="22"/>
        <v>#DIV/0!</v>
      </c>
      <c r="AY58" s="478">
        <f t="shared" si="23"/>
        <v>0</v>
      </c>
      <c r="AZ58" s="478" t="e">
        <f t="shared" si="24"/>
        <v>#DIV/0!</v>
      </c>
      <c r="BA58" s="478"/>
      <c r="BB58" s="501">
        <v>1</v>
      </c>
      <c r="BC58" s="484" t="str">
        <f t="shared" si="32"/>
        <v>No. De Compras de Carteras realizadas</v>
      </c>
      <c r="BD58" s="473">
        <v>0</v>
      </c>
      <c r="BE58" s="479"/>
      <c r="BF58" s="479"/>
      <c r="BG58" s="472">
        <f t="shared" si="25"/>
        <v>0</v>
      </c>
      <c r="BH58" s="472" t="e">
        <f t="shared" si="26"/>
        <v>#DIV/0!</v>
      </c>
      <c r="BI58" s="472">
        <f t="shared" si="27"/>
        <v>0</v>
      </c>
      <c r="BJ58" s="472" t="e">
        <f t="shared" si="28"/>
        <v>#DIV/0!</v>
      </c>
      <c r="BK58" s="472"/>
      <c r="BL58" s="533" t="str">
        <f t="shared" si="6"/>
        <v>No Prog ni Ejec</v>
      </c>
      <c r="BM58" s="533" t="str">
        <f t="shared" si="7"/>
        <v>No Prog ni Ejec</v>
      </c>
      <c r="BN58" s="533" t="str">
        <f t="shared" si="8"/>
        <v>No Prog ni Ejec</v>
      </c>
      <c r="BO58" s="533" t="str">
        <f t="shared" si="9"/>
        <v>No Prog ni Ejec</v>
      </c>
      <c r="BP58" s="533" t="str">
        <f t="shared" si="29"/>
        <v>No Prog ni Ejec</v>
      </c>
      <c r="BQ58" s="533" t="str">
        <f t="shared" si="30"/>
        <v>No Prog ni Ejec</v>
      </c>
      <c r="BR58" s="533">
        <f t="shared" si="10"/>
        <v>0</v>
      </c>
      <c r="BS58" s="533" t="str">
        <f t="shared" si="11"/>
        <v>No Prog ni Ejec</v>
      </c>
      <c r="BT58" s="507">
        <f t="shared" si="14"/>
        <v>0</v>
      </c>
      <c r="BU58" s="481" t="str">
        <f t="shared" si="36"/>
        <v>No. De Compras de Carteras realizadas</v>
      </c>
      <c r="BV58" s="482">
        <f t="shared" si="13"/>
        <v>0</v>
      </c>
      <c r="BW58" s="479"/>
      <c r="BX58" s="479"/>
      <c r="BY58" s="479"/>
      <c r="BZ58" s="479"/>
      <c r="CA58" s="479"/>
      <c r="CB58" s="479"/>
      <c r="CC58" s="479"/>
    </row>
    <row r="59" spans="1:81" s="428" customFormat="1" ht="76.5" x14ac:dyDescent="0.25">
      <c r="A59" s="468">
        <v>11400</v>
      </c>
      <c r="B59" s="469" t="s">
        <v>26</v>
      </c>
      <c r="C59" s="470" t="s">
        <v>188</v>
      </c>
      <c r="D59" s="469" t="s">
        <v>144</v>
      </c>
      <c r="E59" s="470" t="s">
        <v>497</v>
      </c>
      <c r="F59" s="469" t="s">
        <v>204</v>
      </c>
      <c r="G59" s="471" t="s">
        <v>123</v>
      </c>
      <c r="H59" s="472">
        <v>1</v>
      </c>
      <c r="I59" s="470" t="s">
        <v>498</v>
      </c>
      <c r="J59" s="469" t="s">
        <v>205</v>
      </c>
      <c r="K59" s="473">
        <v>0</v>
      </c>
      <c r="L59" s="474">
        <v>1</v>
      </c>
      <c r="M59" s="469" t="s">
        <v>46</v>
      </c>
      <c r="N59" s="469" t="s">
        <v>68</v>
      </c>
      <c r="O59" s="469" t="s">
        <v>34</v>
      </c>
      <c r="P59" s="469" t="s">
        <v>35</v>
      </c>
      <c r="Q59" s="469" t="s">
        <v>225</v>
      </c>
      <c r="R59" s="469" t="s">
        <v>509</v>
      </c>
      <c r="S59" s="469" t="s">
        <v>99</v>
      </c>
      <c r="T59" s="474">
        <v>1</v>
      </c>
      <c r="U59" s="475" t="str">
        <f t="shared" si="15"/>
        <v>Certificaciones remitidas</v>
      </c>
      <c r="V59" s="476">
        <f t="shared" si="16"/>
        <v>0</v>
      </c>
      <c r="W59" s="477" t="s">
        <v>117</v>
      </c>
      <c r="X59" s="472">
        <v>0.25</v>
      </c>
      <c r="Y59" s="484" t="str">
        <f t="shared" si="33"/>
        <v>Certificaciones remitidas</v>
      </c>
      <c r="Z59" s="473">
        <v>0</v>
      </c>
      <c r="AA59" s="556">
        <f>(8/8)*25%</f>
        <v>0.25</v>
      </c>
      <c r="AB59" s="473">
        <v>0</v>
      </c>
      <c r="AC59" s="478">
        <f t="shared" si="17"/>
        <v>1</v>
      </c>
      <c r="AD59" s="478" t="e">
        <f t="shared" si="18"/>
        <v>#DIV/0!</v>
      </c>
      <c r="AE59" s="478">
        <f t="shared" si="19"/>
        <v>0.25</v>
      </c>
      <c r="AF59" s="478" t="e">
        <f t="shared" si="0"/>
        <v>#DIV/0!</v>
      </c>
      <c r="AG59" s="483" t="s">
        <v>900</v>
      </c>
      <c r="AH59" s="472">
        <v>0.25</v>
      </c>
      <c r="AI59" s="484" t="str">
        <f t="shared" si="34"/>
        <v>Certificaciones remitidas</v>
      </c>
      <c r="AJ59" s="473">
        <v>0</v>
      </c>
      <c r="AK59" s="612">
        <f>+(16/16)*25%</f>
        <v>0.25</v>
      </c>
      <c r="AL59" s="616">
        <v>0</v>
      </c>
      <c r="AM59" s="478">
        <f t="shared" si="20"/>
        <v>1</v>
      </c>
      <c r="AN59" s="478" t="e">
        <f t="shared" si="1"/>
        <v>#DIV/0!</v>
      </c>
      <c r="AO59" s="478">
        <f t="shared" si="2"/>
        <v>0.5</v>
      </c>
      <c r="AP59" s="478" t="e">
        <f t="shared" si="3"/>
        <v>#DIV/0!</v>
      </c>
      <c r="AQ59" s="636" t="s">
        <v>1189</v>
      </c>
      <c r="AR59" s="472">
        <v>0.25</v>
      </c>
      <c r="AS59" s="484" t="str">
        <f t="shared" si="31"/>
        <v>Certificaciones remitidas</v>
      </c>
      <c r="AT59" s="473">
        <v>0</v>
      </c>
      <c r="AU59" s="479"/>
      <c r="AV59" s="479"/>
      <c r="AW59" s="478">
        <f t="shared" si="21"/>
        <v>0</v>
      </c>
      <c r="AX59" s="478" t="e">
        <f t="shared" si="22"/>
        <v>#DIV/0!</v>
      </c>
      <c r="AY59" s="478">
        <f t="shared" si="23"/>
        <v>0.5</v>
      </c>
      <c r="AZ59" s="478" t="e">
        <f t="shared" si="24"/>
        <v>#DIV/0!</v>
      </c>
      <c r="BA59" s="478"/>
      <c r="BB59" s="472">
        <v>0.25</v>
      </c>
      <c r="BC59" s="484" t="str">
        <f t="shared" si="32"/>
        <v>Certificaciones remitidas</v>
      </c>
      <c r="BD59" s="473">
        <v>0</v>
      </c>
      <c r="BE59" s="479"/>
      <c r="BF59" s="479"/>
      <c r="BG59" s="472">
        <f t="shared" si="25"/>
        <v>0</v>
      </c>
      <c r="BH59" s="472" t="e">
        <f t="shared" si="26"/>
        <v>#DIV/0!</v>
      </c>
      <c r="BI59" s="472">
        <f t="shared" si="27"/>
        <v>0.5</v>
      </c>
      <c r="BJ59" s="472" t="e">
        <f t="shared" si="28"/>
        <v>#DIV/0!</v>
      </c>
      <c r="BK59" s="472"/>
      <c r="BL59" s="533">
        <f t="shared" si="6"/>
        <v>1</v>
      </c>
      <c r="BM59" s="533" t="str">
        <f t="shared" si="7"/>
        <v>No Prog ni Ejec</v>
      </c>
      <c r="BN59" s="533">
        <f t="shared" si="8"/>
        <v>1</v>
      </c>
      <c r="BO59" s="533" t="str">
        <f t="shared" si="9"/>
        <v>No Prog ni Ejec</v>
      </c>
      <c r="BP59" s="533">
        <f t="shared" si="29"/>
        <v>0</v>
      </c>
      <c r="BQ59" s="533" t="str">
        <f t="shared" si="30"/>
        <v>No Prog ni Ejec</v>
      </c>
      <c r="BR59" s="533">
        <f t="shared" si="10"/>
        <v>0</v>
      </c>
      <c r="BS59" s="533" t="str">
        <f t="shared" si="11"/>
        <v>No Prog ni Ejec</v>
      </c>
      <c r="BT59" s="480">
        <f t="shared" si="14"/>
        <v>0.58333333333333337</v>
      </c>
      <c r="BU59" s="481" t="str">
        <f t="shared" si="36"/>
        <v>Certificaciones remitidas</v>
      </c>
      <c r="BV59" s="482">
        <f t="shared" si="13"/>
        <v>0</v>
      </c>
      <c r="BW59" s="479"/>
      <c r="BX59" s="479"/>
      <c r="BY59" s="479"/>
      <c r="BZ59" s="479"/>
      <c r="CA59" s="479"/>
      <c r="CB59" s="479"/>
      <c r="CC59" s="479"/>
    </row>
    <row r="60" spans="1:81" s="428" customFormat="1" ht="89.25" x14ac:dyDescent="0.25">
      <c r="A60" s="468">
        <v>11400</v>
      </c>
      <c r="B60" s="469" t="s">
        <v>26</v>
      </c>
      <c r="C60" s="470" t="s">
        <v>239</v>
      </c>
      <c r="D60" s="469" t="s">
        <v>144</v>
      </c>
      <c r="E60" s="470" t="s">
        <v>499</v>
      </c>
      <c r="F60" s="469" t="s">
        <v>206</v>
      </c>
      <c r="G60" s="471" t="s">
        <v>123</v>
      </c>
      <c r="H60" s="472">
        <v>1</v>
      </c>
      <c r="I60" s="470" t="s">
        <v>500</v>
      </c>
      <c r="J60" s="469" t="s">
        <v>205</v>
      </c>
      <c r="K60" s="473">
        <v>0</v>
      </c>
      <c r="L60" s="474">
        <v>1</v>
      </c>
      <c r="M60" s="469" t="s">
        <v>46</v>
      </c>
      <c r="N60" s="469" t="s">
        <v>68</v>
      </c>
      <c r="O60" s="469" t="s">
        <v>34</v>
      </c>
      <c r="P60" s="469" t="s">
        <v>35</v>
      </c>
      <c r="Q60" s="469" t="s">
        <v>225</v>
      </c>
      <c r="R60" s="469" t="s">
        <v>509</v>
      </c>
      <c r="S60" s="469" t="s">
        <v>99</v>
      </c>
      <c r="T60" s="474">
        <v>1</v>
      </c>
      <c r="U60" s="475" t="str">
        <f t="shared" si="15"/>
        <v>Certificaciones remitidas</v>
      </c>
      <c r="V60" s="476">
        <f t="shared" si="16"/>
        <v>0</v>
      </c>
      <c r="W60" s="477" t="s">
        <v>117</v>
      </c>
      <c r="X60" s="472">
        <v>0.25</v>
      </c>
      <c r="Y60" s="484" t="str">
        <f t="shared" si="33"/>
        <v>Certificaciones remitidas</v>
      </c>
      <c r="Z60" s="473">
        <v>0</v>
      </c>
      <c r="AA60" s="556">
        <f>(59/59)*25%</f>
        <v>0.25</v>
      </c>
      <c r="AB60" s="473">
        <v>0</v>
      </c>
      <c r="AC60" s="478">
        <f t="shared" si="17"/>
        <v>1</v>
      </c>
      <c r="AD60" s="478" t="e">
        <f t="shared" si="18"/>
        <v>#DIV/0!</v>
      </c>
      <c r="AE60" s="478">
        <f t="shared" si="19"/>
        <v>0.25</v>
      </c>
      <c r="AF60" s="478" t="e">
        <f t="shared" si="0"/>
        <v>#DIV/0!</v>
      </c>
      <c r="AG60" s="483" t="s">
        <v>901</v>
      </c>
      <c r="AH60" s="472">
        <v>0.25</v>
      </c>
      <c r="AI60" s="484" t="str">
        <f t="shared" si="34"/>
        <v>Certificaciones remitidas</v>
      </c>
      <c r="AJ60" s="473">
        <v>0</v>
      </c>
      <c r="AK60" s="612">
        <f>+(70/70)*25%</f>
        <v>0.25</v>
      </c>
      <c r="AL60" s="616">
        <v>0</v>
      </c>
      <c r="AM60" s="478">
        <f t="shared" si="20"/>
        <v>1</v>
      </c>
      <c r="AN60" s="478" t="e">
        <f t="shared" si="1"/>
        <v>#DIV/0!</v>
      </c>
      <c r="AO60" s="478">
        <f t="shared" si="2"/>
        <v>0.5</v>
      </c>
      <c r="AP60" s="478" t="e">
        <f t="shared" si="3"/>
        <v>#DIV/0!</v>
      </c>
      <c r="AQ60" s="636" t="s">
        <v>1190</v>
      </c>
      <c r="AR60" s="472">
        <v>0.25</v>
      </c>
      <c r="AS60" s="484" t="str">
        <f t="shared" si="31"/>
        <v>Certificaciones remitidas</v>
      </c>
      <c r="AT60" s="473">
        <v>0</v>
      </c>
      <c r="AU60" s="479"/>
      <c r="AV60" s="479"/>
      <c r="AW60" s="478">
        <f t="shared" si="21"/>
        <v>0</v>
      </c>
      <c r="AX60" s="478" t="e">
        <f t="shared" si="22"/>
        <v>#DIV/0!</v>
      </c>
      <c r="AY60" s="478">
        <f t="shared" si="23"/>
        <v>0.5</v>
      </c>
      <c r="AZ60" s="478" t="e">
        <f t="shared" si="24"/>
        <v>#DIV/0!</v>
      </c>
      <c r="BA60" s="478"/>
      <c r="BB60" s="472">
        <v>0.25</v>
      </c>
      <c r="BC60" s="484" t="str">
        <f t="shared" si="32"/>
        <v>Certificaciones remitidas</v>
      </c>
      <c r="BD60" s="473">
        <v>0</v>
      </c>
      <c r="BE60" s="479"/>
      <c r="BF60" s="479"/>
      <c r="BG60" s="472">
        <f t="shared" si="25"/>
        <v>0</v>
      </c>
      <c r="BH60" s="472" t="e">
        <f t="shared" si="26"/>
        <v>#DIV/0!</v>
      </c>
      <c r="BI60" s="472">
        <f t="shared" si="27"/>
        <v>0.5</v>
      </c>
      <c r="BJ60" s="472" t="e">
        <f t="shared" si="28"/>
        <v>#DIV/0!</v>
      </c>
      <c r="BK60" s="472"/>
      <c r="BL60" s="533">
        <f t="shared" si="6"/>
        <v>1</v>
      </c>
      <c r="BM60" s="533" t="str">
        <f t="shared" si="7"/>
        <v>No Prog ni Ejec</v>
      </c>
      <c r="BN60" s="533">
        <f t="shared" si="8"/>
        <v>1</v>
      </c>
      <c r="BO60" s="533" t="str">
        <f t="shared" si="9"/>
        <v>No Prog ni Ejec</v>
      </c>
      <c r="BP60" s="533">
        <f t="shared" si="29"/>
        <v>0</v>
      </c>
      <c r="BQ60" s="533" t="str">
        <f t="shared" si="30"/>
        <v>No Prog ni Ejec</v>
      </c>
      <c r="BR60" s="533">
        <f t="shared" si="10"/>
        <v>0</v>
      </c>
      <c r="BS60" s="533" t="str">
        <f t="shared" si="11"/>
        <v>No Prog ni Ejec</v>
      </c>
      <c r="BT60" s="480">
        <f t="shared" si="14"/>
        <v>0.58333333333333337</v>
      </c>
      <c r="BU60" s="481" t="str">
        <f t="shared" si="36"/>
        <v>Certificaciones remitidas</v>
      </c>
      <c r="BV60" s="482">
        <f t="shared" si="13"/>
        <v>0</v>
      </c>
      <c r="BW60" s="479"/>
      <c r="BX60" s="479"/>
      <c r="BY60" s="479"/>
      <c r="BZ60" s="479"/>
      <c r="CA60" s="479"/>
      <c r="CB60" s="479"/>
      <c r="CC60" s="479"/>
    </row>
    <row r="61" spans="1:81" s="428" customFormat="1" ht="89.25" x14ac:dyDescent="0.25">
      <c r="A61" s="468">
        <v>11400</v>
      </c>
      <c r="B61" s="469" t="s">
        <v>26</v>
      </c>
      <c r="C61" s="470" t="s">
        <v>240</v>
      </c>
      <c r="D61" s="469" t="s">
        <v>144</v>
      </c>
      <c r="E61" s="470" t="s">
        <v>501</v>
      </c>
      <c r="F61" s="469" t="s">
        <v>207</v>
      </c>
      <c r="G61" s="471" t="s">
        <v>123</v>
      </c>
      <c r="H61" s="472">
        <v>1</v>
      </c>
      <c r="I61" s="470" t="s">
        <v>502</v>
      </c>
      <c r="J61" s="469" t="s">
        <v>205</v>
      </c>
      <c r="K61" s="473">
        <v>0</v>
      </c>
      <c r="L61" s="474">
        <v>1</v>
      </c>
      <c r="M61" s="469" t="s">
        <v>46</v>
      </c>
      <c r="N61" s="469" t="s">
        <v>68</v>
      </c>
      <c r="O61" s="469" t="s">
        <v>34</v>
      </c>
      <c r="P61" s="469" t="s">
        <v>35</v>
      </c>
      <c r="Q61" s="469" t="s">
        <v>225</v>
      </c>
      <c r="R61" s="469" t="s">
        <v>509</v>
      </c>
      <c r="S61" s="469" t="s">
        <v>99</v>
      </c>
      <c r="T61" s="474">
        <v>1</v>
      </c>
      <c r="U61" s="475" t="str">
        <f t="shared" si="15"/>
        <v>Certificaciones remitidas</v>
      </c>
      <c r="V61" s="476">
        <f t="shared" si="16"/>
        <v>0</v>
      </c>
      <c r="W61" s="477" t="s">
        <v>117</v>
      </c>
      <c r="X61" s="472">
        <v>0.25</v>
      </c>
      <c r="Y61" s="484" t="str">
        <f t="shared" si="33"/>
        <v>Certificaciones remitidas</v>
      </c>
      <c r="Z61" s="473">
        <v>0</v>
      </c>
      <c r="AA61" s="556">
        <f>(21/21)*25%</f>
        <v>0.25</v>
      </c>
      <c r="AB61" s="473">
        <v>0</v>
      </c>
      <c r="AC61" s="478">
        <f t="shared" si="17"/>
        <v>1</v>
      </c>
      <c r="AD61" s="478" t="e">
        <f t="shared" si="18"/>
        <v>#DIV/0!</v>
      </c>
      <c r="AE61" s="478">
        <f t="shared" si="19"/>
        <v>0.25</v>
      </c>
      <c r="AF61" s="478" t="e">
        <f t="shared" si="0"/>
        <v>#DIV/0!</v>
      </c>
      <c r="AG61" s="483" t="s">
        <v>902</v>
      </c>
      <c r="AH61" s="472">
        <v>0.25</v>
      </c>
      <c r="AI61" s="484" t="str">
        <f t="shared" si="34"/>
        <v>Certificaciones remitidas</v>
      </c>
      <c r="AJ61" s="473">
        <v>0</v>
      </c>
      <c r="AK61" s="612">
        <f>+(18/18)*25%</f>
        <v>0.25</v>
      </c>
      <c r="AL61" s="616">
        <v>0</v>
      </c>
      <c r="AM61" s="478">
        <f t="shared" si="20"/>
        <v>1</v>
      </c>
      <c r="AN61" s="478" t="e">
        <f t="shared" si="1"/>
        <v>#DIV/0!</v>
      </c>
      <c r="AO61" s="478">
        <f t="shared" si="2"/>
        <v>0.5</v>
      </c>
      <c r="AP61" s="478" t="e">
        <f t="shared" si="3"/>
        <v>#DIV/0!</v>
      </c>
      <c r="AQ61" s="636" t="s">
        <v>1191</v>
      </c>
      <c r="AR61" s="472">
        <v>0.25</v>
      </c>
      <c r="AS61" s="484" t="str">
        <f t="shared" si="31"/>
        <v>Certificaciones remitidas</v>
      </c>
      <c r="AT61" s="473">
        <v>0</v>
      </c>
      <c r="AU61" s="479"/>
      <c r="AV61" s="479"/>
      <c r="AW61" s="478">
        <f t="shared" si="21"/>
        <v>0</v>
      </c>
      <c r="AX61" s="478" t="e">
        <f t="shared" si="22"/>
        <v>#DIV/0!</v>
      </c>
      <c r="AY61" s="478">
        <f t="shared" si="23"/>
        <v>0.5</v>
      </c>
      <c r="AZ61" s="478" t="e">
        <f t="shared" si="24"/>
        <v>#DIV/0!</v>
      </c>
      <c r="BA61" s="478"/>
      <c r="BB61" s="472">
        <v>0.25</v>
      </c>
      <c r="BC61" s="484" t="str">
        <f t="shared" si="32"/>
        <v>Certificaciones remitidas</v>
      </c>
      <c r="BD61" s="473">
        <v>0</v>
      </c>
      <c r="BE61" s="479"/>
      <c r="BF61" s="479"/>
      <c r="BG61" s="472">
        <f t="shared" si="25"/>
        <v>0</v>
      </c>
      <c r="BH61" s="472" t="e">
        <f t="shared" si="26"/>
        <v>#DIV/0!</v>
      </c>
      <c r="BI61" s="472">
        <f t="shared" si="27"/>
        <v>0.5</v>
      </c>
      <c r="BJ61" s="472" t="e">
        <f t="shared" si="28"/>
        <v>#DIV/0!</v>
      </c>
      <c r="BK61" s="472"/>
      <c r="BL61" s="533">
        <f t="shared" si="6"/>
        <v>1</v>
      </c>
      <c r="BM61" s="533" t="str">
        <f t="shared" si="7"/>
        <v>No Prog ni Ejec</v>
      </c>
      <c r="BN61" s="533">
        <f t="shared" si="8"/>
        <v>1</v>
      </c>
      <c r="BO61" s="533" t="str">
        <f t="shared" si="9"/>
        <v>No Prog ni Ejec</v>
      </c>
      <c r="BP61" s="533">
        <f t="shared" si="29"/>
        <v>0</v>
      </c>
      <c r="BQ61" s="533" t="str">
        <f t="shared" si="30"/>
        <v>No Prog ni Ejec</v>
      </c>
      <c r="BR61" s="533">
        <f t="shared" si="10"/>
        <v>0</v>
      </c>
      <c r="BS61" s="533" t="str">
        <f t="shared" si="11"/>
        <v>No Prog ni Ejec</v>
      </c>
      <c r="BT61" s="480">
        <f t="shared" si="14"/>
        <v>0.58333333333333337</v>
      </c>
      <c r="BU61" s="481" t="str">
        <f t="shared" si="36"/>
        <v>Certificaciones remitidas</v>
      </c>
      <c r="BV61" s="482">
        <f t="shared" si="13"/>
        <v>0</v>
      </c>
      <c r="BW61" s="479"/>
      <c r="BX61" s="479"/>
      <c r="BY61" s="479"/>
      <c r="BZ61" s="479"/>
      <c r="CA61" s="479"/>
      <c r="CB61" s="479"/>
      <c r="CC61" s="479"/>
    </row>
    <row r="62" spans="1:81" s="428" customFormat="1" ht="89.25" x14ac:dyDescent="0.25">
      <c r="A62" s="468">
        <v>11400</v>
      </c>
      <c r="B62" s="469" t="s">
        <v>26</v>
      </c>
      <c r="C62" s="470" t="s">
        <v>241</v>
      </c>
      <c r="D62" s="469" t="s">
        <v>144</v>
      </c>
      <c r="E62" s="470" t="s">
        <v>503</v>
      </c>
      <c r="F62" s="469" t="s">
        <v>208</v>
      </c>
      <c r="G62" s="471" t="s">
        <v>123</v>
      </c>
      <c r="H62" s="472">
        <v>1</v>
      </c>
      <c r="I62" s="470" t="s">
        <v>504</v>
      </c>
      <c r="J62" s="469" t="s">
        <v>205</v>
      </c>
      <c r="K62" s="473">
        <v>0</v>
      </c>
      <c r="L62" s="474">
        <v>1</v>
      </c>
      <c r="M62" s="469" t="s">
        <v>46</v>
      </c>
      <c r="N62" s="469" t="s">
        <v>68</v>
      </c>
      <c r="O62" s="469" t="s">
        <v>34</v>
      </c>
      <c r="P62" s="469" t="s">
        <v>35</v>
      </c>
      <c r="Q62" s="469" t="s">
        <v>225</v>
      </c>
      <c r="R62" s="469" t="s">
        <v>509</v>
      </c>
      <c r="S62" s="469" t="s">
        <v>99</v>
      </c>
      <c r="T62" s="474">
        <v>1</v>
      </c>
      <c r="U62" s="475" t="str">
        <f t="shared" si="15"/>
        <v>Certificaciones remitidas</v>
      </c>
      <c r="V62" s="476">
        <f t="shared" si="16"/>
        <v>0</v>
      </c>
      <c r="W62" s="477" t="s">
        <v>117</v>
      </c>
      <c r="X62" s="472">
        <v>0.25</v>
      </c>
      <c r="Y62" s="484" t="str">
        <f t="shared" si="33"/>
        <v>Certificaciones remitidas</v>
      </c>
      <c r="Z62" s="473">
        <v>0</v>
      </c>
      <c r="AA62" s="556">
        <f>(15/15)*25%</f>
        <v>0.25</v>
      </c>
      <c r="AB62" s="473">
        <v>0</v>
      </c>
      <c r="AC62" s="478">
        <f t="shared" si="17"/>
        <v>1</v>
      </c>
      <c r="AD62" s="478" t="e">
        <f t="shared" si="18"/>
        <v>#DIV/0!</v>
      </c>
      <c r="AE62" s="478">
        <f t="shared" si="19"/>
        <v>0.25</v>
      </c>
      <c r="AF62" s="478" t="e">
        <f t="shared" si="0"/>
        <v>#DIV/0!</v>
      </c>
      <c r="AG62" s="483" t="s">
        <v>903</v>
      </c>
      <c r="AH62" s="472">
        <v>0.25</v>
      </c>
      <c r="AI62" s="484" t="str">
        <f t="shared" si="34"/>
        <v>Certificaciones remitidas</v>
      </c>
      <c r="AJ62" s="473">
        <v>0</v>
      </c>
      <c r="AK62" s="612">
        <f>+(14/14)*25%</f>
        <v>0.25</v>
      </c>
      <c r="AL62" s="616">
        <v>0</v>
      </c>
      <c r="AM62" s="478">
        <f t="shared" si="20"/>
        <v>1</v>
      </c>
      <c r="AN62" s="478" t="e">
        <f t="shared" si="1"/>
        <v>#DIV/0!</v>
      </c>
      <c r="AO62" s="478">
        <f t="shared" si="2"/>
        <v>0.5</v>
      </c>
      <c r="AP62" s="478" t="e">
        <f t="shared" si="3"/>
        <v>#DIV/0!</v>
      </c>
      <c r="AQ62" s="636" t="s">
        <v>1192</v>
      </c>
      <c r="AR62" s="472">
        <v>0.25</v>
      </c>
      <c r="AS62" s="484" t="str">
        <f t="shared" si="31"/>
        <v>Certificaciones remitidas</v>
      </c>
      <c r="AT62" s="473">
        <v>0</v>
      </c>
      <c r="AU62" s="479"/>
      <c r="AV62" s="479"/>
      <c r="AW62" s="478">
        <f t="shared" si="21"/>
        <v>0</v>
      </c>
      <c r="AX62" s="478" t="e">
        <f t="shared" si="22"/>
        <v>#DIV/0!</v>
      </c>
      <c r="AY62" s="478">
        <f t="shared" si="23"/>
        <v>0.5</v>
      </c>
      <c r="AZ62" s="478" t="e">
        <f t="shared" si="24"/>
        <v>#DIV/0!</v>
      </c>
      <c r="BA62" s="478"/>
      <c r="BB62" s="472">
        <v>0.25</v>
      </c>
      <c r="BC62" s="484" t="str">
        <f t="shared" si="32"/>
        <v>Certificaciones remitidas</v>
      </c>
      <c r="BD62" s="473">
        <v>0</v>
      </c>
      <c r="BE62" s="479"/>
      <c r="BF62" s="479"/>
      <c r="BG62" s="472">
        <f t="shared" si="25"/>
        <v>0</v>
      </c>
      <c r="BH62" s="472" t="e">
        <f t="shared" si="26"/>
        <v>#DIV/0!</v>
      </c>
      <c r="BI62" s="472">
        <f t="shared" si="27"/>
        <v>0.5</v>
      </c>
      <c r="BJ62" s="472" t="e">
        <f t="shared" si="28"/>
        <v>#DIV/0!</v>
      </c>
      <c r="BK62" s="472"/>
      <c r="BL62" s="533">
        <f t="shared" si="6"/>
        <v>1</v>
      </c>
      <c r="BM62" s="533" t="str">
        <f t="shared" si="7"/>
        <v>No Prog ni Ejec</v>
      </c>
      <c r="BN62" s="533">
        <f t="shared" si="8"/>
        <v>1</v>
      </c>
      <c r="BO62" s="533" t="str">
        <f t="shared" si="9"/>
        <v>No Prog ni Ejec</v>
      </c>
      <c r="BP62" s="533">
        <f t="shared" si="29"/>
        <v>0</v>
      </c>
      <c r="BQ62" s="533" t="str">
        <f t="shared" si="30"/>
        <v>No Prog ni Ejec</v>
      </c>
      <c r="BR62" s="533">
        <f t="shared" si="10"/>
        <v>0</v>
      </c>
      <c r="BS62" s="533" t="str">
        <f t="shared" si="11"/>
        <v>No Prog ni Ejec</v>
      </c>
      <c r="BT62" s="480">
        <f t="shared" si="14"/>
        <v>0.58333333333333337</v>
      </c>
      <c r="BU62" s="481" t="str">
        <f t="shared" si="36"/>
        <v>Certificaciones remitidas</v>
      </c>
      <c r="BV62" s="482">
        <f t="shared" si="13"/>
        <v>0</v>
      </c>
      <c r="BW62" s="479"/>
      <c r="BX62" s="479"/>
      <c r="BY62" s="479"/>
      <c r="BZ62" s="479"/>
      <c r="CA62" s="479"/>
      <c r="CB62" s="479"/>
      <c r="CC62" s="479"/>
    </row>
    <row r="63" spans="1:81" s="428" customFormat="1" ht="204" x14ac:dyDescent="0.25">
      <c r="A63" s="468">
        <v>11400</v>
      </c>
      <c r="B63" s="469" t="s">
        <v>26</v>
      </c>
      <c r="C63" s="470" t="s">
        <v>242</v>
      </c>
      <c r="D63" s="469" t="s">
        <v>144</v>
      </c>
      <c r="E63" s="470" t="s">
        <v>505</v>
      </c>
      <c r="F63" s="469" t="s">
        <v>243</v>
      </c>
      <c r="G63" s="471" t="s">
        <v>124</v>
      </c>
      <c r="H63" s="470">
        <v>2</v>
      </c>
      <c r="I63" s="470" t="s">
        <v>506</v>
      </c>
      <c r="J63" s="469" t="s">
        <v>244</v>
      </c>
      <c r="K63" s="473">
        <v>55000000</v>
      </c>
      <c r="L63" s="474">
        <v>1</v>
      </c>
      <c r="M63" s="469" t="s">
        <v>46</v>
      </c>
      <c r="N63" s="469" t="s">
        <v>68</v>
      </c>
      <c r="O63" s="469" t="s">
        <v>34</v>
      </c>
      <c r="P63" s="469" t="s">
        <v>36</v>
      </c>
      <c r="Q63" s="469" t="s">
        <v>225</v>
      </c>
      <c r="R63" s="469" t="s">
        <v>510</v>
      </c>
      <c r="S63" s="469" t="s">
        <v>99</v>
      </c>
      <c r="T63" s="501">
        <v>2</v>
      </c>
      <c r="U63" s="475" t="str">
        <f t="shared" si="15"/>
        <v>Elaboración de Estudios del Sector</v>
      </c>
      <c r="V63" s="476">
        <f t="shared" si="16"/>
        <v>55000000</v>
      </c>
      <c r="W63" s="477" t="s">
        <v>114</v>
      </c>
      <c r="X63" s="501">
        <v>0</v>
      </c>
      <c r="Y63" s="484" t="str">
        <f t="shared" si="33"/>
        <v>Elaboración de Estudios del Sector</v>
      </c>
      <c r="Z63" s="473">
        <v>55000000</v>
      </c>
      <c r="AA63" s="479">
        <v>2</v>
      </c>
      <c r="AB63" s="482">
        <v>0</v>
      </c>
      <c r="AC63" s="478" t="e">
        <f>+(AA63/X63)</f>
        <v>#DIV/0!</v>
      </c>
      <c r="AD63" s="478">
        <f t="shared" si="18"/>
        <v>0</v>
      </c>
      <c r="AE63" s="478">
        <f t="shared" si="19"/>
        <v>1</v>
      </c>
      <c r="AF63" s="478">
        <f t="shared" si="0"/>
        <v>0</v>
      </c>
      <c r="AG63" s="483" t="s">
        <v>904</v>
      </c>
      <c r="AH63" s="501">
        <v>1</v>
      </c>
      <c r="AI63" s="484" t="str">
        <f t="shared" si="34"/>
        <v>Elaboración de Estudios del Sector</v>
      </c>
      <c r="AJ63" s="473">
        <v>0</v>
      </c>
      <c r="AK63" s="658">
        <v>5</v>
      </c>
      <c r="AL63" s="648">
        <v>0</v>
      </c>
      <c r="AM63" s="478">
        <f t="shared" si="20"/>
        <v>5</v>
      </c>
      <c r="AN63" s="478" t="e">
        <f t="shared" si="1"/>
        <v>#DIV/0!</v>
      </c>
      <c r="AO63" s="478">
        <f t="shared" si="2"/>
        <v>3.5</v>
      </c>
      <c r="AP63" s="478">
        <f t="shared" si="3"/>
        <v>0</v>
      </c>
      <c r="AQ63" s="636" t="s">
        <v>1193</v>
      </c>
      <c r="AR63" s="501">
        <v>0</v>
      </c>
      <c r="AS63" s="484" t="str">
        <f t="shared" si="31"/>
        <v>Elaboración de Estudios del Sector</v>
      </c>
      <c r="AT63" s="473">
        <v>0</v>
      </c>
      <c r="AU63" s="479"/>
      <c r="AV63" s="479"/>
      <c r="AW63" s="478" t="e">
        <f t="shared" si="21"/>
        <v>#DIV/0!</v>
      </c>
      <c r="AX63" s="478" t="e">
        <f t="shared" si="22"/>
        <v>#DIV/0!</v>
      </c>
      <c r="AY63" s="478">
        <f t="shared" si="23"/>
        <v>3.5</v>
      </c>
      <c r="AZ63" s="478">
        <f t="shared" si="24"/>
        <v>0</v>
      </c>
      <c r="BA63" s="478"/>
      <c r="BB63" s="501">
        <v>1</v>
      </c>
      <c r="BC63" s="484" t="str">
        <f t="shared" si="32"/>
        <v>Elaboración de Estudios del Sector</v>
      </c>
      <c r="BD63" s="473">
        <v>0</v>
      </c>
      <c r="BE63" s="479"/>
      <c r="BF63" s="479"/>
      <c r="BG63" s="472">
        <f t="shared" si="25"/>
        <v>0</v>
      </c>
      <c r="BH63" s="472" t="e">
        <f t="shared" si="26"/>
        <v>#DIV/0!</v>
      </c>
      <c r="BI63" s="472">
        <f t="shared" si="27"/>
        <v>3.5</v>
      </c>
      <c r="BJ63" s="472">
        <f t="shared" si="28"/>
        <v>0</v>
      </c>
      <c r="BK63" s="472"/>
      <c r="BL63" s="533" t="str">
        <f t="shared" si="6"/>
        <v>No Prog, Ejec=  2</v>
      </c>
      <c r="BM63" s="533">
        <f t="shared" si="7"/>
        <v>0</v>
      </c>
      <c r="BN63" s="533">
        <f t="shared" si="8"/>
        <v>5</v>
      </c>
      <c r="BO63" s="533" t="str">
        <f t="shared" si="9"/>
        <v>No Prog ni Ejec</v>
      </c>
      <c r="BP63" s="533" t="str">
        <f t="shared" si="29"/>
        <v>No Prog ni Ejec</v>
      </c>
      <c r="BQ63" s="533" t="str">
        <f t="shared" si="30"/>
        <v>No Prog ni Ejec</v>
      </c>
      <c r="BR63" s="533">
        <f t="shared" si="10"/>
        <v>0</v>
      </c>
      <c r="BS63" s="533" t="str">
        <f t="shared" si="11"/>
        <v>No Prog ni Ejec</v>
      </c>
      <c r="BT63" s="507">
        <f t="shared" si="14"/>
        <v>1</v>
      </c>
      <c r="BU63" s="481" t="str">
        <f t="shared" si="36"/>
        <v>Elaboración de Estudios del Sector</v>
      </c>
      <c r="BV63" s="482">
        <f t="shared" si="13"/>
        <v>55000000</v>
      </c>
      <c r="BW63" s="479"/>
      <c r="BX63" s="479"/>
      <c r="BY63" s="479"/>
      <c r="BZ63" s="479"/>
      <c r="CA63" s="479"/>
      <c r="CB63" s="479"/>
      <c r="CC63" s="479"/>
    </row>
    <row r="64" spans="1:81" s="428" customFormat="1" ht="51" x14ac:dyDescent="0.25">
      <c r="A64" s="468">
        <v>11500</v>
      </c>
      <c r="B64" s="469" t="s">
        <v>28</v>
      </c>
      <c r="C64" s="470" t="s">
        <v>259</v>
      </c>
      <c r="D64" s="469" t="s">
        <v>153</v>
      </c>
      <c r="E64" s="470" t="s">
        <v>290</v>
      </c>
      <c r="F64" s="469" t="s">
        <v>133</v>
      </c>
      <c r="G64" s="471" t="s">
        <v>124</v>
      </c>
      <c r="H64" s="470">
        <v>4</v>
      </c>
      <c r="I64" s="470" t="s">
        <v>276</v>
      </c>
      <c r="J64" s="469" t="s">
        <v>24</v>
      </c>
      <c r="K64" s="473">
        <v>0</v>
      </c>
      <c r="L64" s="474">
        <v>1</v>
      </c>
      <c r="M64" s="469" t="s">
        <v>51</v>
      </c>
      <c r="N64" s="469" t="s">
        <v>68</v>
      </c>
      <c r="O64" s="469" t="s">
        <v>21</v>
      </c>
      <c r="P64" s="469" t="s">
        <v>36</v>
      </c>
      <c r="Q64" s="469" t="s">
        <v>75</v>
      </c>
      <c r="R64" s="469" t="s">
        <v>631</v>
      </c>
      <c r="S64" s="469" t="s">
        <v>98</v>
      </c>
      <c r="T64" s="470">
        <v>4</v>
      </c>
      <c r="U64" s="475" t="str">
        <f t="shared" si="15"/>
        <v>Reportar el cumplimiento del Plan de Acción de la Dependencia</v>
      </c>
      <c r="V64" s="476">
        <f t="shared" si="16"/>
        <v>0</v>
      </c>
      <c r="W64" s="477" t="s">
        <v>117</v>
      </c>
      <c r="X64" s="501">
        <v>1</v>
      </c>
      <c r="Y64" s="484" t="str">
        <f t="shared" si="33"/>
        <v>Reportar el cumplimiento del Plan de Acción de la Dependencia</v>
      </c>
      <c r="Z64" s="473">
        <v>0</v>
      </c>
      <c r="AA64" s="479">
        <v>1</v>
      </c>
      <c r="AB64" s="482">
        <v>0</v>
      </c>
      <c r="AC64" s="478">
        <f t="shared" si="17"/>
        <v>1</v>
      </c>
      <c r="AD64" s="478" t="e">
        <f t="shared" si="18"/>
        <v>#DIV/0!</v>
      </c>
      <c r="AE64" s="478">
        <f t="shared" si="19"/>
        <v>0.25</v>
      </c>
      <c r="AF64" s="478" t="e">
        <f t="shared" si="0"/>
        <v>#DIV/0!</v>
      </c>
      <c r="AG64" s="478"/>
      <c r="AH64" s="501">
        <v>1</v>
      </c>
      <c r="AI64" s="484" t="str">
        <f t="shared" si="34"/>
        <v>Reportar el cumplimiento del Plan de Acción de la Dependencia</v>
      </c>
      <c r="AJ64" s="473">
        <v>0</v>
      </c>
      <c r="AK64" s="658">
        <v>1</v>
      </c>
      <c r="AL64" s="658" t="s">
        <v>1064</v>
      </c>
      <c r="AM64" s="478">
        <f t="shared" si="20"/>
        <v>1</v>
      </c>
      <c r="AN64" s="478" t="e">
        <f t="shared" si="1"/>
        <v>#VALUE!</v>
      </c>
      <c r="AO64" s="478">
        <f t="shared" si="2"/>
        <v>0.5</v>
      </c>
      <c r="AP64" s="478" t="e">
        <f t="shared" si="3"/>
        <v>#VALUE!</v>
      </c>
      <c r="AQ64" s="620" t="s">
        <v>1065</v>
      </c>
      <c r="AR64" s="501">
        <v>1</v>
      </c>
      <c r="AS64" s="484" t="str">
        <f t="shared" si="31"/>
        <v>Reportar el cumplimiento del Plan de Acción de la Dependencia</v>
      </c>
      <c r="AT64" s="473">
        <v>0</v>
      </c>
      <c r="AU64" s="479"/>
      <c r="AV64" s="479"/>
      <c r="AW64" s="478">
        <f t="shared" si="21"/>
        <v>0</v>
      </c>
      <c r="AX64" s="478" t="e">
        <f t="shared" si="22"/>
        <v>#DIV/0!</v>
      </c>
      <c r="AY64" s="478">
        <f t="shared" si="23"/>
        <v>0.5</v>
      </c>
      <c r="AZ64" s="478" t="e">
        <f t="shared" si="24"/>
        <v>#VALUE!</v>
      </c>
      <c r="BA64" s="478"/>
      <c r="BB64" s="501">
        <v>1</v>
      </c>
      <c r="BC64" s="484" t="str">
        <f t="shared" si="32"/>
        <v>Reportar el cumplimiento del Plan de Acción de la Dependencia</v>
      </c>
      <c r="BD64" s="473">
        <v>0</v>
      </c>
      <c r="BE64" s="479"/>
      <c r="BF64" s="479"/>
      <c r="BG64" s="472">
        <f t="shared" si="25"/>
        <v>0</v>
      </c>
      <c r="BH64" s="472" t="e">
        <f t="shared" si="26"/>
        <v>#DIV/0!</v>
      </c>
      <c r="BI64" s="472">
        <f t="shared" si="27"/>
        <v>0.5</v>
      </c>
      <c r="BJ64" s="472" t="e">
        <f t="shared" si="28"/>
        <v>#VALUE!</v>
      </c>
      <c r="BK64" s="472"/>
      <c r="BL64" s="533">
        <f t="shared" si="6"/>
        <v>1</v>
      </c>
      <c r="BM64" s="533" t="str">
        <f t="shared" si="7"/>
        <v>No Prog ni Ejec</v>
      </c>
      <c r="BN64" s="533">
        <f t="shared" si="8"/>
        <v>1</v>
      </c>
      <c r="BO64" s="533" t="str">
        <f t="shared" si="9"/>
        <v xml:space="preserve">No Prog, Ejec=   $ - </v>
      </c>
      <c r="BP64" s="533">
        <f t="shared" si="29"/>
        <v>0</v>
      </c>
      <c r="BQ64" s="533" t="str">
        <f t="shared" si="30"/>
        <v>No Prog ni Ejec</v>
      </c>
      <c r="BR64" s="533">
        <f t="shared" si="10"/>
        <v>0</v>
      </c>
      <c r="BS64" s="533" t="str">
        <f t="shared" si="11"/>
        <v>No Prog ni Ejec</v>
      </c>
      <c r="BT64" s="507">
        <f t="shared" si="14"/>
        <v>2.3333333333333335</v>
      </c>
      <c r="BU64" s="481" t="str">
        <f t="shared" si="36"/>
        <v>Reportar el cumplimiento del Plan de Acción de la Dependencia</v>
      </c>
      <c r="BV64" s="482">
        <f t="shared" si="13"/>
        <v>0</v>
      </c>
      <c r="BW64" s="479"/>
      <c r="BX64" s="479"/>
      <c r="BY64" s="479"/>
      <c r="BZ64" s="479"/>
      <c r="CA64" s="479"/>
      <c r="CB64" s="479"/>
      <c r="CC64" s="479"/>
    </row>
    <row r="65" spans="1:81" s="428" customFormat="1" ht="89.25" x14ac:dyDescent="0.25">
      <c r="A65" s="468">
        <v>11500</v>
      </c>
      <c r="B65" s="469" t="s">
        <v>28</v>
      </c>
      <c r="C65" s="470" t="s">
        <v>260</v>
      </c>
      <c r="D65" s="469" t="s">
        <v>256</v>
      </c>
      <c r="E65" s="470" t="s">
        <v>261</v>
      </c>
      <c r="F65" s="469" t="s">
        <v>159</v>
      </c>
      <c r="G65" s="471" t="s">
        <v>123</v>
      </c>
      <c r="H65" s="472">
        <v>1</v>
      </c>
      <c r="I65" s="470" t="s">
        <v>274</v>
      </c>
      <c r="J65" s="469" t="s">
        <v>598</v>
      </c>
      <c r="K65" s="473">
        <v>0</v>
      </c>
      <c r="L65" s="474">
        <v>1</v>
      </c>
      <c r="M65" s="469" t="s">
        <v>51</v>
      </c>
      <c r="N65" s="469" t="s">
        <v>68</v>
      </c>
      <c r="O65" s="469" t="s">
        <v>21</v>
      </c>
      <c r="P65" s="469" t="s">
        <v>36</v>
      </c>
      <c r="Q65" s="469" t="s">
        <v>75</v>
      </c>
      <c r="R65" s="469" t="s">
        <v>672</v>
      </c>
      <c r="S65" s="469" t="s">
        <v>98</v>
      </c>
      <c r="T65" s="474">
        <v>1</v>
      </c>
      <c r="U65" s="475" t="str">
        <f t="shared" si="15"/>
        <v>Formular los procesos y procedimientos en el marco del MIPG</v>
      </c>
      <c r="V65" s="476">
        <f t="shared" si="16"/>
        <v>0</v>
      </c>
      <c r="W65" s="477" t="s">
        <v>117</v>
      </c>
      <c r="X65" s="472">
        <v>0.25</v>
      </c>
      <c r="Y65" s="484" t="str">
        <f t="shared" si="33"/>
        <v>Formular los procesos y procedimientos en el marco del MIPG</v>
      </c>
      <c r="Z65" s="473">
        <v>0</v>
      </c>
      <c r="AA65" s="556">
        <f>(6/6)</f>
        <v>1</v>
      </c>
      <c r="AB65" s="482">
        <v>0</v>
      </c>
      <c r="AC65" s="478">
        <f t="shared" si="17"/>
        <v>4</v>
      </c>
      <c r="AD65" s="478" t="e">
        <f t="shared" si="18"/>
        <v>#DIV/0!</v>
      </c>
      <c r="AE65" s="478">
        <f t="shared" si="19"/>
        <v>1</v>
      </c>
      <c r="AF65" s="478" t="e">
        <f t="shared" si="0"/>
        <v>#DIV/0!</v>
      </c>
      <c r="AG65" s="478"/>
      <c r="AH65" s="472">
        <v>0.25</v>
      </c>
      <c r="AI65" s="484" t="str">
        <f t="shared" si="34"/>
        <v>Formular los procesos y procedimientos en el marco del MIPG</v>
      </c>
      <c r="AJ65" s="473">
        <v>0</v>
      </c>
      <c r="AK65" s="617">
        <v>0</v>
      </c>
      <c r="AL65" s="658" t="s">
        <v>1064</v>
      </c>
      <c r="AM65" s="478">
        <f t="shared" si="20"/>
        <v>0</v>
      </c>
      <c r="AN65" s="478" t="e">
        <f t="shared" si="1"/>
        <v>#VALUE!</v>
      </c>
      <c r="AO65" s="478">
        <f t="shared" si="2"/>
        <v>1</v>
      </c>
      <c r="AP65" s="478" t="e">
        <f t="shared" si="3"/>
        <v>#VALUE!</v>
      </c>
      <c r="AQ65" s="620" t="s">
        <v>1066</v>
      </c>
      <c r="AR65" s="472">
        <v>0.25</v>
      </c>
      <c r="AS65" s="484" t="str">
        <f t="shared" si="31"/>
        <v>Formular los procesos y procedimientos en el marco del MIPG</v>
      </c>
      <c r="AT65" s="473">
        <v>0</v>
      </c>
      <c r="AU65" s="479"/>
      <c r="AV65" s="479"/>
      <c r="AW65" s="478">
        <f t="shared" si="21"/>
        <v>0</v>
      </c>
      <c r="AX65" s="478" t="e">
        <f t="shared" si="22"/>
        <v>#DIV/0!</v>
      </c>
      <c r="AY65" s="478">
        <f t="shared" si="23"/>
        <v>1</v>
      </c>
      <c r="AZ65" s="478" t="e">
        <f t="shared" si="24"/>
        <v>#VALUE!</v>
      </c>
      <c r="BA65" s="478"/>
      <c r="BB65" s="472">
        <v>0.25</v>
      </c>
      <c r="BC65" s="484" t="str">
        <f t="shared" si="32"/>
        <v>Formular los procesos y procedimientos en el marco del MIPG</v>
      </c>
      <c r="BD65" s="473">
        <v>0</v>
      </c>
      <c r="BE65" s="479"/>
      <c r="BF65" s="479"/>
      <c r="BG65" s="472">
        <f t="shared" si="25"/>
        <v>0</v>
      </c>
      <c r="BH65" s="472" t="e">
        <f t="shared" si="26"/>
        <v>#DIV/0!</v>
      </c>
      <c r="BI65" s="472">
        <f t="shared" si="27"/>
        <v>1</v>
      </c>
      <c r="BJ65" s="472" t="e">
        <f t="shared" si="28"/>
        <v>#VALUE!</v>
      </c>
      <c r="BK65" s="472"/>
      <c r="BL65" s="533">
        <f t="shared" si="6"/>
        <v>4</v>
      </c>
      <c r="BM65" s="533" t="str">
        <f t="shared" si="7"/>
        <v>No Prog ni Ejec</v>
      </c>
      <c r="BN65" s="533">
        <f t="shared" si="8"/>
        <v>0</v>
      </c>
      <c r="BO65" s="533" t="str">
        <f t="shared" si="9"/>
        <v xml:space="preserve">No Prog, Ejec=   $ - </v>
      </c>
      <c r="BP65" s="533">
        <f t="shared" si="29"/>
        <v>0</v>
      </c>
      <c r="BQ65" s="533" t="str">
        <f t="shared" si="30"/>
        <v>No Prog ni Ejec</v>
      </c>
      <c r="BR65" s="533">
        <f t="shared" si="10"/>
        <v>0</v>
      </c>
      <c r="BS65" s="533" t="str">
        <f t="shared" si="11"/>
        <v>No Prog ni Ejec</v>
      </c>
      <c r="BT65" s="480">
        <f t="shared" si="14"/>
        <v>0.58333333333333337</v>
      </c>
      <c r="BU65" s="481" t="str">
        <f t="shared" si="36"/>
        <v>Formular los procesos y procedimientos en el marco del MIPG</v>
      </c>
      <c r="BV65" s="482">
        <f t="shared" si="13"/>
        <v>0</v>
      </c>
      <c r="BW65" s="479"/>
      <c r="BX65" s="479"/>
      <c r="BY65" s="479"/>
      <c r="BZ65" s="479"/>
      <c r="CA65" s="479"/>
      <c r="CB65" s="479"/>
      <c r="CC65" s="479"/>
    </row>
    <row r="66" spans="1:81" s="428" customFormat="1" ht="89.25" x14ac:dyDescent="0.25">
      <c r="A66" s="468">
        <v>11500</v>
      </c>
      <c r="B66" s="469" t="s">
        <v>28</v>
      </c>
      <c r="C66" s="470" t="s">
        <v>260</v>
      </c>
      <c r="D66" s="469" t="s">
        <v>256</v>
      </c>
      <c r="E66" s="470" t="s">
        <v>262</v>
      </c>
      <c r="F66" s="469" t="s">
        <v>127</v>
      </c>
      <c r="G66" s="471" t="s">
        <v>123</v>
      </c>
      <c r="H66" s="472">
        <v>1</v>
      </c>
      <c r="I66" s="470" t="s">
        <v>275</v>
      </c>
      <c r="J66" s="469" t="s">
        <v>599</v>
      </c>
      <c r="K66" s="473">
        <v>0</v>
      </c>
      <c r="L66" s="474">
        <v>1</v>
      </c>
      <c r="M66" s="469" t="s">
        <v>51</v>
      </c>
      <c r="N66" s="469" t="s">
        <v>68</v>
      </c>
      <c r="O66" s="469" t="s">
        <v>21</v>
      </c>
      <c r="P66" s="469" t="s">
        <v>36</v>
      </c>
      <c r="Q66" s="469" t="s">
        <v>75</v>
      </c>
      <c r="R66" s="469" t="s">
        <v>570</v>
      </c>
      <c r="S66" s="469" t="s">
        <v>98</v>
      </c>
      <c r="T66" s="474">
        <v>1</v>
      </c>
      <c r="U66" s="475" t="str">
        <f t="shared" si="15"/>
        <v>Remitir informe trimestral de los indicadores formulados y las acciones de mejoras</v>
      </c>
      <c r="V66" s="476">
        <f t="shared" si="16"/>
        <v>0</v>
      </c>
      <c r="W66" s="477" t="s">
        <v>117</v>
      </c>
      <c r="X66" s="472">
        <v>0</v>
      </c>
      <c r="Y66" s="484" t="str">
        <f t="shared" si="33"/>
        <v>Remitir informe trimestral de los indicadores formulados y las acciones de mejoras</v>
      </c>
      <c r="Z66" s="473">
        <v>0</v>
      </c>
      <c r="AA66" s="480">
        <v>0</v>
      </c>
      <c r="AB66" s="482">
        <v>0</v>
      </c>
      <c r="AC66" s="478" t="e">
        <f t="shared" si="17"/>
        <v>#DIV/0!</v>
      </c>
      <c r="AD66" s="478" t="e">
        <f t="shared" si="18"/>
        <v>#DIV/0!</v>
      </c>
      <c r="AE66" s="478">
        <f t="shared" si="19"/>
        <v>0</v>
      </c>
      <c r="AF66" s="478" t="e">
        <f t="shared" si="0"/>
        <v>#DIV/0!</v>
      </c>
      <c r="AG66" s="478"/>
      <c r="AH66" s="472">
        <v>0</v>
      </c>
      <c r="AI66" s="484" t="str">
        <f t="shared" si="34"/>
        <v>Remitir informe trimestral de los indicadores formulados y las acciones de mejoras</v>
      </c>
      <c r="AJ66" s="473">
        <v>0</v>
      </c>
      <c r="AK66" s="617">
        <v>0</v>
      </c>
      <c r="AL66" s="658" t="s">
        <v>1064</v>
      </c>
      <c r="AM66" s="478" t="e">
        <f t="shared" si="20"/>
        <v>#DIV/0!</v>
      </c>
      <c r="AN66" s="478" t="e">
        <f t="shared" si="1"/>
        <v>#VALUE!</v>
      </c>
      <c r="AO66" s="478">
        <f t="shared" si="2"/>
        <v>0</v>
      </c>
      <c r="AP66" s="478" t="e">
        <f t="shared" si="3"/>
        <v>#VALUE!</v>
      </c>
      <c r="AQ66" s="620"/>
      <c r="AR66" s="472">
        <v>0</v>
      </c>
      <c r="AS66" s="484" t="str">
        <f t="shared" si="31"/>
        <v>Remitir informe trimestral de los indicadores formulados y las acciones de mejoras</v>
      </c>
      <c r="AT66" s="473">
        <v>0</v>
      </c>
      <c r="AU66" s="479"/>
      <c r="AV66" s="479"/>
      <c r="AW66" s="478" t="e">
        <f t="shared" si="21"/>
        <v>#DIV/0!</v>
      </c>
      <c r="AX66" s="478" t="e">
        <f t="shared" si="22"/>
        <v>#DIV/0!</v>
      </c>
      <c r="AY66" s="478">
        <f t="shared" si="23"/>
        <v>0</v>
      </c>
      <c r="AZ66" s="478" t="e">
        <f t="shared" si="24"/>
        <v>#VALUE!</v>
      </c>
      <c r="BA66" s="478"/>
      <c r="BB66" s="472">
        <v>1</v>
      </c>
      <c r="BC66" s="484" t="str">
        <f t="shared" si="32"/>
        <v>Remitir informe trimestral de los indicadores formulados y las acciones de mejoras</v>
      </c>
      <c r="BD66" s="473">
        <v>0</v>
      </c>
      <c r="BE66" s="479"/>
      <c r="BF66" s="479"/>
      <c r="BG66" s="472">
        <f t="shared" si="25"/>
        <v>0</v>
      </c>
      <c r="BH66" s="472" t="e">
        <f t="shared" si="26"/>
        <v>#DIV/0!</v>
      </c>
      <c r="BI66" s="472">
        <f t="shared" si="27"/>
        <v>0</v>
      </c>
      <c r="BJ66" s="472" t="e">
        <f t="shared" si="28"/>
        <v>#VALUE!</v>
      </c>
      <c r="BK66" s="472"/>
      <c r="BL66" s="533" t="str">
        <f t="shared" si="6"/>
        <v>No Prog ni Ejec</v>
      </c>
      <c r="BM66" s="533" t="str">
        <f t="shared" si="7"/>
        <v>No Prog ni Ejec</v>
      </c>
      <c r="BN66" s="533" t="str">
        <f t="shared" si="8"/>
        <v>No Prog ni Ejec</v>
      </c>
      <c r="BO66" s="533" t="str">
        <f t="shared" si="9"/>
        <v xml:space="preserve">No Prog, Ejec=   $ - </v>
      </c>
      <c r="BP66" s="533" t="str">
        <f t="shared" si="29"/>
        <v>No Prog ni Ejec</v>
      </c>
      <c r="BQ66" s="533" t="str">
        <f t="shared" si="30"/>
        <v>No Prog ni Ejec</v>
      </c>
      <c r="BR66" s="533">
        <f t="shared" si="10"/>
        <v>0</v>
      </c>
      <c r="BS66" s="533" t="str">
        <f t="shared" si="11"/>
        <v>No Prog ni Ejec</v>
      </c>
      <c r="BT66" s="480">
        <f t="shared" si="14"/>
        <v>0</v>
      </c>
      <c r="BU66" s="481" t="str">
        <f t="shared" si="36"/>
        <v>Remitir informe trimestral de los indicadores formulados y las acciones de mejoras</v>
      </c>
      <c r="BV66" s="482">
        <f t="shared" si="13"/>
        <v>0</v>
      </c>
      <c r="BW66" s="479"/>
      <c r="BX66" s="479"/>
      <c r="BY66" s="479"/>
      <c r="BZ66" s="479"/>
      <c r="CA66" s="479"/>
      <c r="CB66" s="479"/>
      <c r="CC66" s="479"/>
    </row>
    <row r="67" spans="1:81" s="428" customFormat="1" ht="63.75" x14ac:dyDescent="0.25">
      <c r="A67" s="468">
        <v>11500</v>
      </c>
      <c r="B67" s="469" t="s">
        <v>28</v>
      </c>
      <c r="C67" s="470" t="s">
        <v>263</v>
      </c>
      <c r="D67" s="469" t="s">
        <v>144</v>
      </c>
      <c r="E67" s="470" t="s">
        <v>264</v>
      </c>
      <c r="F67" s="469" t="s">
        <v>600</v>
      </c>
      <c r="G67" s="471" t="s">
        <v>124</v>
      </c>
      <c r="H67" s="470">
        <v>12</v>
      </c>
      <c r="I67" s="470" t="s">
        <v>265</v>
      </c>
      <c r="J67" s="469" t="s">
        <v>601</v>
      </c>
      <c r="K67" s="670">
        <v>0</v>
      </c>
      <c r="L67" s="474">
        <v>1</v>
      </c>
      <c r="M67" s="469" t="s">
        <v>46</v>
      </c>
      <c r="N67" s="469" t="s">
        <v>68</v>
      </c>
      <c r="O67" s="469" t="s">
        <v>21</v>
      </c>
      <c r="P67" s="469" t="s">
        <v>36</v>
      </c>
      <c r="Q67" s="469" t="s">
        <v>211</v>
      </c>
      <c r="R67" s="469" t="s">
        <v>673</v>
      </c>
      <c r="S67" s="469" t="s">
        <v>98</v>
      </c>
      <c r="T67" s="509">
        <v>12</v>
      </c>
      <c r="U67" s="475" t="str">
        <f t="shared" si="15"/>
        <v>Realizar el giro previo efectuados a favor de las entidades recobrantes y proveedores de servicios y tecnologías no incluidas en el PB con cargo a la UPC</v>
      </c>
      <c r="V67" s="476">
        <f>+K67</f>
        <v>0</v>
      </c>
      <c r="W67" s="477" t="s">
        <v>117</v>
      </c>
      <c r="X67" s="501">
        <v>3</v>
      </c>
      <c r="Y67" s="484" t="str">
        <f t="shared" si="33"/>
        <v>Realizar el giro previo efectuados a favor de las entidades recobrantes y proveedores de servicios y tecnologías no incluidas en el PB con cargo a la UPC</v>
      </c>
      <c r="Z67" s="473">
        <v>0</v>
      </c>
      <c r="AA67" s="479">
        <v>3</v>
      </c>
      <c r="AB67" s="473">
        <v>0</v>
      </c>
      <c r="AC67" s="478">
        <f t="shared" si="17"/>
        <v>1</v>
      </c>
      <c r="AD67" s="478" t="e">
        <f>+(AB67/Z67)</f>
        <v>#DIV/0!</v>
      </c>
      <c r="AE67" s="478">
        <f t="shared" si="19"/>
        <v>0.25</v>
      </c>
      <c r="AF67" s="478" t="e">
        <f t="shared" si="0"/>
        <v>#DIV/0!</v>
      </c>
      <c r="AG67" s="478"/>
      <c r="AH67" s="501">
        <v>3</v>
      </c>
      <c r="AI67" s="484" t="str">
        <f t="shared" si="34"/>
        <v>Realizar el giro previo efectuados a favor de las entidades recobrantes y proveedores de servicios y tecnologías no incluidas en el PB con cargo a la UPC</v>
      </c>
      <c r="AJ67" s="473">
        <v>0</v>
      </c>
      <c r="AK67" s="658">
        <v>3</v>
      </c>
      <c r="AL67" s="658">
        <v>0</v>
      </c>
      <c r="AM67" s="478">
        <f t="shared" si="20"/>
        <v>1</v>
      </c>
      <c r="AN67" s="478" t="e">
        <f t="shared" si="1"/>
        <v>#DIV/0!</v>
      </c>
      <c r="AO67" s="478">
        <f t="shared" si="2"/>
        <v>0.5</v>
      </c>
      <c r="AP67" s="478" t="e">
        <f t="shared" si="3"/>
        <v>#DIV/0!</v>
      </c>
      <c r="AQ67" s="620"/>
      <c r="AR67" s="501">
        <v>3</v>
      </c>
      <c r="AS67" s="484" t="str">
        <f t="shared" si="31"/>
        <v>Realizar el giro previo efectuados a favor de las entidades recobrantes y proveedores de servicios y tecnologías no incluidas en el PB con cargo a la UPC</v>
      </c>
      <c r="AT67" s="473">
        <v>0</v>
      </c>
      <c r="AU67" s="479"/>
      <c r="AV67" s="479"/>
      <c r="AW67" s="478">
        <f t="shared" si="21"/>
        <v>0</v>
      </c>
      <c r="AX67" s="478" t="e">
        <f t="shared" si="22"/>
        <v>#DIV/0!</v>
      </c>
      <c r="AY67" s="478">
        <f t="shared" si="23"/>
        <v>0.5</v>
      </c>
      <c r="AZ67" s="478" t="e">
        <f t="shared" si="24"/>
        <v>#DIV/0!</v>
      </c>
      <c r="BA67" s="478"/>
      <c r="BB67" s="501">
        <v>3</v>
      </c>
      <c r="BC67" s="484" t="str">
        <f t="shared" si="32"/>
        <v>Realizar el giro previo efectuados a favor de las entidades recobrantes y proveedores de servicios y tecnologías no incluidas en el PB con cargo a la UPC</v>
      </c>
      <c r="BD67" s="473">
        <v>0</v>
      </c>
      <c r="BE67" s="479"/>
      <c r="BF67" s="479"/>
      <c r="BG67" s="472">
        <f t="shared" si="25"/>
        <v>0</v>
      </c>
      <c r="BH67" s="472" t="e">
        <f t="shared" si="26"/>
        <v>#DIV/0!</v>
      </c>
      <c r="BI67" s="472">
        <f t="shared" si="27"/>
        <v>0.5</v>
      </c>
      <c r="BJ67" s="472" t="e">
        <f t="shared" si="28"/>
        <v>#DIV/0!</v>
      </c>
      <c r="BK67" s="472"/>
      <c r="BL67" s="533">
        <f t="shared" si="6"/>
        <v>1</v>
      </c>
      <c r="BM67" s="533" t="str">
        <f t="shared" si="7"/>
        <v>No Prog ni Ejec</v>
      </c>
      <c r="BN67" s="533">
        <f t="shared" si="8"/>
        <v>1</v>
      </c>
      <c r="BO67" s="533" t="str">
        <f t="shared" si="9"/>
        <v>No Prog ni Ejec</v>
      </c>
      <c r="BP67" s="533">
        <f t="shared" si="29"/>
        <v>0</v>
      </c>
      <c r="BQ67" s="533" t="str">
        <f t="shared" si="30"/>
        <v>No Prog ni Ejec</v>
      </c>
      <c r="BR67" s="533">
        <f t="shared" si="10"/>
        <v>0</v>
      </c>
      <c r="BS67" s="533" t="str">
        <f t="shared" si="11"/>
        <v>No Prog ni Ejec</v>
      </c>
      <c r="BT67" s="507">
        <f t="shared" si="14"/>
        <v>7</v>
      </c>
      <c r="BU67" s="481" t="str">
        <f t="shared" si="36"/>
        <v>Realizar el giro previo efectuados a favor de las entidades recobrantes y proveedores de servicios y tecnologías no incluidas en el PB con cargo a la UPC</v>
      </c>
      <c r="BV67" s="482">
        <f t="shared" si="13"/>
        <v>0</v>
      </c>
      <c r="BW67" s="479"/>
      <c r="BX67" s="479"/>
      <c r="BY67" s="479"/>
      <c r="BZ67" s="479"/>
      <c r="CA67" s="479"/>
      <c r="CB67" s="479"/>
      <c r="CC67" s="479"/>
    </row>
    <row r="68" spans="1:81" s="428" customFormat="1" ht="71.25" customHeight="1" x14ac:dyDescent="0.25">
      <c r="A68" s="967">
        <v>11500</v>
      </c>
      <c r="B68" s="969" t="s">
        <v>28</v>
      </c>
      <c r="C68" s="971" t="s">
        <v>263</v>
      </c>
      <c r="D68" s="973" t="s">
        <v>144</v>
      </c>
      <c r="E68" s="971" t="s">
        <v>529</v>
      </c>
      <c r="F68" s="973" t="s">
        <v>602</v>
      </c>
      <c r="G68" s="971" t="s">
        <v>123</v>
      </c>
      <c r="H68" s="975">
        <v>1</v>
      </c>
      <c r="I68" s="470" t="s">
        <v>530</v>
      </c>
      <c r="J68" s="469" t="s">
        <v>1003</v>
      </c>
      <c r="K68" s="473">
        <f>21280837691.9+5073987104.34+2489164923</f>
        <v>28843989719.240002</v>
      </c>
      <c r="L68" s="474">
        <v>1</v>
      </c>
      <c r="M68" s="969" t="s">
        <v>46</v>
      </c>
      <c r="N68" s="969" t="s">
        <v>68</v>
      </c>
      <c r="O68" s="969" t="s">
        <v>21</v>
      </c>
      <c r="P68" s="969" t="s">
        <v>36</v>
      </c>
      <c r="Q68" s="969" t="s">
        <v>211</v>
      </c>
      <c r="R68" s="969" t="s">
        <v>674</v>
      </c>
      <c r="S68" s="969" t="s">
        <v>98</v>
      </c>
      <c r="T68" s="474">
        <v>1</v>
      </c>
      <c r="U68" s="475" t="str">
        <f t="shared" si="15"/>
        <v>Ordenar el pago de los paquetes de recobros cuyo trámite de auditoría haya culminado, para el trámite de reconocimiento y pago por parte de ADRES (contrato en ejecución)</v>
      </c>
      <c r="V68" s="476">
        <f t="shared" si="15"/>
        <v>28843989719.240002</v>
      </c>
      <c r="W68" s="971" t="s">
        <v>114</v>
      </c>
      <c r="X68" s="472">
        <v>0.25</v>
      </c>
      <c r="Y68" s="484" t="str">
        <f t="shared" si="33"/>
        <v>Ordenar el pago de los paquetes de recobros cuyo trámite de auditoría haya culminado, para el trámite de reconocimiento y pago por parte de ADRES (contrato en ejecución)</v>
      </c>
      <c r="Z68" s="473">
        <f>+V68*X68</f>
        <v>7210997429.8100004</v>
      </c>
      <c r="AA68" s="480">
        <f>(4/4)*25%</f>
        <v>0.25</v>
      </c>
      <c r="AB68" s="473">
        <v>9454743813</v>
      </c>
      <c r="AC68" s="478">
        <f t="shared" si="17"/>
        <v>1</v>
      </c>
      <c r="AD68" s="478">
        <f t="shared" ref="AD68:AD69" si="39">+(AB68/Z68)</f>
        <v>1.3111561756927597</v>
      </c>
      <c r="AE68" s="478">
        <f t="shared" si="19"/>
        <v>0.25</v>
      </c>
      <c r="AF68" s="478">
        <f t="shared" si="0"/>
        <v>0.32778904392318992</v>
      </c>
      <c r="AG68" s="483"/>
      <c r="AH68" s="472">
        <v>0.25</v>
      </c>
      <c r="AI68" s="484" t="str">
        <f t="shared" si="34"/>
        <v>Ordenar el pago de los paquetes de recobros cuyo trámite de auditoría haya culminado, para el trámite de reconocimiento y pago por parte de ADRES (contrato en ejecución)</v>
      </c>
      <c r="AJ68" s="473">
        <v>8372291230.75</v>
      </c>
      <c r="AK68" s="657">
        <f>(3/3)*25%</f>
        <v>0.25</v>
      </c>
      <c r="AL68" s="685">
        <v>9222952162</v>
      </c>
      <c r="AM68" s="478">
        <f t="shared" si="20"/>
        <v>1</v>
      </c>
      <c r="AN68" s="478">
        <f t="shared" si="1"/>
        <v>1.1016043168834915</v>
      </c>
      <c r="AO68" s="478">
        <f t="shared" si="2"/>
        <v>0.5</v>
      </c>
      <c r="AP68" s="478">
        <f t="shared" si="3"/>
        <v>0.64754204105617508</v>
      </c>
      <c r="AQ68" s="620"/>
      <c r="AR68" s="472">
        <v>0.25</v>
      </c>
      <c r="AS68" s="484" t="str">
        <f t="shared" si="31"/>
        <v>Ordenar el pago de los paquetes de recobros cuyo trámite de auditoría haya culminado, para el trámite de reconocimiento y pago por parte de ADRES (contrato en ejecución)</v>
      </c>
      <c r="AT68" s="473">
        <v>8372291230.75</v>
      </c>
      <c r="AU68" s="479"/>
      <c r="AV68" s="479"/>
      <c r="AW68" s="478">
        <f t="shared" si="21"/>
        <v>0</v>
      </c>
      <c r="AX68" s="478">
        <f t="shared" si="22"/>
        <v>0</v>
      </c>
      <c r="AY68" s="478">
        <f t="shared" si="23"/>
        <v>0.5</v>
      </c>
      <c r="AZ68" s="478">
        <f t="shared" si="24"/>
        <v>0.64754204105617508</v>
      </c>
      <c r="BA68" s="478"/>
      <c r="BB68" s="472">
        <v>0.25</v>
      </c>
      <c r="BC68" s="484" t="str">
        <f t="shared" si="32"/>
        <v>Ordenar el pago de los paquetes de recobros cuyo trámite de auditoría haya culminado, para el trámite de reconocimiento y pago por parte de ADRES (contrato en ejecución)</v>
      </c>
      <c r="BD68" s="473">
        <v>8372291230.75</v>
      </c>
      <c r="BE68" s="479"/>
      <c r="BF68" s="479"/>
      <c r="BG68" s="472">
        <f t="shared" si="25"/>
        <v>0</v>
      </c>
      <c r="BH68" s="472">
        <f t="shared" si="26"/>
        <v>0</v>
      </c>
      <c r="BI68" s="472">
        <f t="shared" si="27"/>
        <v>0.5</v>
      </c>
      <c r="BJ68" s="472">
        <f t="shared" si="28"/>
        <v>0.64754204105617508</v>
      </c>
      <c r="BK68" s="472"/>
      <c r="BL68" s="533">
        <f t="shared" si="6"/>
        <v>1</v>
      </c>
      <c r="BM68" s="533">
        <f t="shared" si="7"/>
        <v>1.3111561756927597</v>
      </c>
      <c r="BN68" s="533">
        <f t="shared" si="8"/>
        <v>1</v>
      </c>
      <c r="BO68" s="533">
        <f t="shared" si="9"/>
        <v>1.1016043168834915</v>
      </c>
      <c r="BP68" s="533">
        <f t="shared" si="29"/>
        <v>0</v>
      </c>
      <c r="BQ68" s="533">
        <f t="shared" si="30"/>
        <v>0</v>
      </c>
      <c r="BR68" s="533">
        <f t="shared" si="10"/>
        <v>0</v>
      </c>
      <c r="BS68" s="533">
        <f t="shared" si="11"/>
        <v>0</v>
      </c>
      <c r="BT68" s="480">
        <f t="shared" si="14"/>
        <v>0.58333333333333337</v>
      </c>
      <c r="BU68" s="481" t="str">
        <f t="shared" si="36"/>
        <v>Ordenar el pago de los paquetes de recobros cuyo trámite de auditoría haya culminado, para el trámite de reconocimiento y pago por parte de ADRES (contrato en ejecución)</v>
      </c>
      <c r="BV68" s="482">
        <f t="shared" si="13"/>
        <v>18374052404.143333</v>
      </c>
      <c r="BW68" s="479"/>
      <c r="BX68" s="479"/>
      <c r="BY68" s="479"/>
      <c r="BZ68" s="479"/>
      <c r="CA68" s="479"/>
      <c r="CB68" s="479"/>
      <c r="CC68" s="479"/>
    </row>
    <row r="69" spans="1:81" s="428" customFormat="1" ht="76.5" x14ac:dyDescent="0.25">
      <c r="A69" s="968"/>
      <c r="B69" s="970"/>
      <c r="C69" s="972"/>
      <c r="D69" s="974"/>
      <c r="E69" s="972"/>
      <c r="F69" s="974"/>
      <c r="G69" s="972"/>
      <c r="H69" s="976"/>
      <c r="I69" s="667" t="s">
        <v>930</v>
      </c>
      <c r="J69" s="469" t="s">
        <v>1004</v>
      </c>
      <c r="K69" s="670">
        <f>33371192463-2489164923</f>
        <v>30882027540</v>
      </c>
      <c r="L69" s="474">
        <v>1</v>
      </c>
      <c r="M69" s="970"/>
      <c r="N69" s="970"/>
      <c r="O69" s="970"/>
      <c r="P69" s="970"/>
      <c r="Q69" s="970"/>
      <c r="R69" s="970"/>
      <c r="S69" s="970"/>
      <c r="T69" s="474">
        <v>1</v>
      </c>
      <c r="U69" s="475" t="str">
        <f>+J69</f>
        <v>Ordenar el pago de los paquetes de recobros cuyo trámite de auditoría haya culminado, para el trámite de reconocimiento y pago por parte de ADRES (contrato de auditoria a adjudicar)</v>
      </c>
      <c r="V69" s="476">
        <f t="shared" si="15"/>
        <v>30882027540</v>
      </c>
      <c r="W69" s="972"/>
      <c r="X69" s="472">
        <v>0</v>
      </c>
      <c r="Y69" s="484" t="str">
        <f t="shared" si="33"/>
        <v>Ordenar el pago de los paquetes de recobros cuyo trámite de auditoría haya culminado, para el trámite de reconocimiento y pago por parte de ADRES (contrato de auditoria a adjudicar)</v>
      </c>
      <c r="Z69" s="473">
        <v>0</v>
      </c>
      <c r="AA69" s="480">
        <v>0</v>
      </c>
      <c r="AB69" s="473">
        <v>0</v>
      </c>
      <c r="AC69" s="478" t="e">
        <f t="shared" si="17"/>
        <v>#DIV/0!</v>
      </c>
      <c r="AD69" s="478" t="e">
        <f t="shared" si="39"/>
        <v>#DIV/0!</v>
      </c>
      <c r="AE69" s="478">
        <f t="shared" si="19"/>
        <v>0</v>
      </c>
      <c r="AF69" s="478">
        <f t="shared" si="0"/>
        <v>0</v>
      </c>
      <c r="AG69" s="483"/>
      <c r="AH69" s="472">
        <v>0</v>
      </c>
      <c r="AI69" s="484" t="str">
        <f t="shared" si="34"/>
        <v>Ordenar el pago de los paquetes de recobros cuyo trámite de auditoría haya culminado, para el trámite de reconocimiento y pago por parte de ADRES (contrato de auditoria a adjudicar)</v>
      </c>
      <c r="AJ69" s="473">
        <v>0</v>
      </c>
      <c r="AK69" s="617">
        <v>0</v>
      </c>
      <c r="AL69" s="616">
        <v>0</v>
      </c>
      <c r="AM69" s="478" t="e">
        <f t="shared" si="20"/>
        <v>#DIV/0!</v>
      </c>
      <c r="AN69" s="478" t="e">
        <f t="shared" si="1"/>
        <v>#DIV/0!</v>
      </c>
      <c r="AO69" s="478">
        <f t="shared" si="2"/>
        <v>0</v>
      </c>
      <c r="AP69" s="478">
        <f t="shared" si="3"/>
        <v>0</v>
      </c>
      <c r="AQ69" s="478"/>
      <c r="AR69" s="472">
        <v>0</v>
      </c>
      <c r="AS69" s="484" t="str">
        <f t="shared" si="31"/>
        <v>Ordenar el pago de los paquetes de recobros cuyo trámite de auditoría haya culminado, para el trámite de reconocimiento y pago por parte de ADRES (contrato de auditoria a adjudicar)</v>
      </c>
      <c r="AT69" s="473">
        <v>0</v>
      </c>
      <c r="AU69" s="479"/>
      <c r="AV69" s="479"/>
      <c r="AW69" s="478" t="e">
        <f t="shared" si="21"/>
        <v>#DIV/0!</v>
      </c>
      <c r="AX69" s="478" t="e">
        <f t="shared" si="22"/>
        <v>#DIV/0!</v>
      </c>
      <c r="AY69" s="478">
        <f t="shared" si="23"/>
        <v>0</v>
      </c>
      <c r="AZ69" s="478">
        <f t="shared" si="24"/>
        <v>0</v>
      </c>
      <c r="BA69" s="478"/>
      <c r="BB69" s="472">
        <v>1</v>
      </c>
      <c r="BC69" s="484" t="str">
        <f t="shared" si="32"/>
        <v>Ordenar el pago de los paquetes de recobros cuyo trámite de auditoría haya culminado, para el trámite de reconocimiento y pago por parte de ADRES (contrato de auditoria a adjudicar)</v>
      </c>
      <c r="BD69" s="473">
        <f>+V69</f>
        <v>30882027540</v>
      </c>
      <c r="BE69" s="479"/>
      <c r="BF69" s="479"/>
      <c r="BG69" s="472">
        <f t="shared" si="25"/>
        <v>0</v>
      </c>
      <c r="BH69" s="472">
        <f t="shared" si="26"/>
        <v>0</v>
      </c>
      <c r="BI69" s="472">
        <f t="shared" si="27"/>
        <v>0</v>
      </c>
      <c r="BJ69" s="472">
        <f t="shared" si="28"/>
        <v>0</v>
      </c>
      <c r="BK69" s="472"/>
      <c r="BL69" s="533" t="str">
        <f t="shared" si="6"/>
        <v>No Prog ni Ejec</v>
      </c>
      <c r="BM69" s="533" t="str">
        <f t="shared" si="7"/>
        <v>No Prog ni Ejec</v>
      </c>
      <c r="BN69" s="533" t="str">
        <f t="shared" si="8"/>
        <v>No Prog ni Ejec</v>
      </c>
      <c r="BO69" s="533" t="str">
        <f t="shared" si="9"/>
        <v>No Prog ni Ejec</v>
      </c>
      <c r="BP69" s="533" t="str">
        <f t="shared" si="29"/>
        <v>No Prog ni Ejec</v>
      </c>
      <c r="BQ69" s="533" t="str">
        <f t="shared" si="30"/>
        <v>No Prog ni Ejec</v>
      </c>
      <c r="BR69" s="533">
        <f t="shared" si="10"/>
        <v>0</v>
      </c>
      <c r="BS69" s="533">
        <f t="shared" si="11"/>
        <v>0</v>
      </c>
      <c r="BT69" s="480">
        <f t="shared" si="14"/>
        <v>0</v>
      </c>
      <c r="BU69" s="481" t="str">
        <f t="shared" si="36"/>
        <v>Ordenar el pago de los paquetes de recobros cuyo trámite de auditoría haya culminado, para el trámite de reconocimiento y pago por parte de ADRES (contrato de auditoria a adjudicar)</v>
      </c>
      <c r="BV69" s="482">
        <f t="shared" si="13"/>
        <v>0</v>
      </c>
      <c r="BW69" s="479"/>
      <c r="BX69" s="479"/>
      <c r="BY69" s="479"/>
      <c r="BZ69" s="479"/>
      <c r="CA69" s="479"/>
      <c r="CB69" s="479"/>
      <c r="CC69" s="479"/>
    </row>
    <row r="70" spans="1:81" s="428" customFormat="1" ht="63.75" x14ac:dyDescent="0.25">
      <c r="A70" s="468">
        <v>11500</v>
      </c>
      <c r="B70" s="469" t="s">
        <v>28</v>
      </c>
      <c r="C70" s="470" t="s">
        <v>263</v>
      </c>
      <c r="D70" s="469" t="s">
        <v>144</v>
      </c>
      <c r="E70" s="470" t="s">
        <v>531</v>
      </c>
      <c r="F70" s="469" t="s">
        <v>604</v>
      </c>
      <c r="G70" s="471" t="s">
        <v>124</v>
      </c>
      <c r="H70" s="512">
        <v>12</v>
      </c>
      <c r="I70" s="470" t="s">
        <v>532</v>
      </c>
      <c r="J70" s="469" t="s">
        <v>606</v>
      </c>
      <c r="K70" s="473">
        <v>0</v>
      </c>
      <c r="L70" s="474">
        <v>1</v>
      </c>
      <c r="M70" s="469" t="s">
        <v>46</v>
      </c>
      <c r="N70" s="469" t="s">
        <v>68</v>
      </c>
      <c r="O70" s="469" t="s">
        <v>21</v>
      </c>
      <c r="P70" s="469" t="s">
        <v>36</v>
      </c>
      <c r="Q70" s="469" t="s">
        <v>211</v>
      </c>
      <c r="R70" s="469" t="s">
        <v>675</v>
      </c>
      <c r="S70" s="469" t="s">
        <v>98</v>
      </c>
      <c r="T70" s="509">
        <v>12</v>
      </c>
      <c r="U70" s="475" t="str">
        <f t="shared" si="15"/>
        <v>Publicación del Giro Directo del giro previo</v>
      </c>
      <c r="V70" s="476">
        <f t="shared" si="16"/>
        <v>0</v>
      </c>
      <c r="W70" s="477" t="s">
        <v>117</v>
      </c>
      <c r="X70" s="501">
        <v>3</v>
      </c>
      <c r="Y70" s="484" t="str">
        <f t="shared" si="33"/>
        <v>Publicación del Giro Directo del giro previo</v>
      </c>
      <c r="Z70" s="473">
        <v>0</v>
      </c>
      <c r="AA70" s="479">
        <v>1</v>
      </c>
      <c r="AB70" s="482">
        <v>0</v>
      </c>
      <c r="AC70" s="478">
        <f t="shared" si="17"/>
        <v>0.33333333333333331</v>
      </c>
      <c r="AD70" s="478" t="e">
        <f t="shared" si="18"/>
        <v>#DIV/0!</v>
      </c>
      <c r="AE70" s="478">
        <f t="shared" si="19"/>
        <v>8.3333333333333329E-2</v>
      </c>
      <c r="AF70" s="478" t="e">
        <f t="shared" si="0"/>
        <v>#DIV/0!</v>
      </c>
      <c r="AG70" s="478"/>
      <c r="AH70" s="501">
        <v>3</v>
      </c>
      <c r="AI70" s="484" t="str">
        <f t="shared" si="34"/>
        <v>Publicación del Giro Directo del giro previo</v>
      </c>
      <c r="AJ70" s="473">
        <v>0</v>
      </c>
      <c r="AK70" s="658">
        <v>5</v>
      </c>
      <c r="AL70" s="616">
        <v>0</v>
      </c>
      <c r="AM70" s="478">
        <f t="shared" si="20"/>
        <v>1.6666666666666667</v>
      </c>
      <c r="AN70" s="478" t="e">
        <f t="shared" si="1"/>
        <v>#DIV/0!</v>
      </c>
      <c r="AO70" s="478">
        <f t="shared" si="2"/>
        <v>0.5</v>
      </c>
      <c r="AP70" s="478" t="e">
        <f t="shared" si="3"/>
        <v>#DIV/0!</v>
      </c>
      <c r="AQ70" s="478"/>
      <c r="AR70" s="501">
        <v>3</v>
      </c>
      <c r="AS70" s="484" t="str">
        <f t="shared" si="31"/>
        <v>Publicación del Giro Directo del giro previo</v>
      </c>
      <c r="AT70" s="473">
        <v>0</v>
      </c>
      <c r="AU70" s="479"/>
      <c r="AV70" s="479"/>
      <c r="AW70" s="478">
        <f t="shared" si="21"/>
        <v>0</v>
      </c>
      <c r="AX70" s="478" t="e">
        <f t="shared" si="22"/>
        <v>#DIV/0!</v>
      </c>
      <c r="AY70" s="478">
        <f t="shared" si="23"/>
        <v>0.5</v>
      </c>
      <c r="AZ70" s="478" t="e">
        <f t="shared" si="24"/>
        <v>#DIV/0!</v>
      </c>
      <c r="BA70" s="478"/>
      <c r="BB70" s="501">
        <v>3</v>
      </c>
      <c r="BC70" s="484" t="str">
        <f t="shared" si="32"/>
        <v>Publicación del Giro Directo del giro previo</v>
      </c>
      <c r="BD70" s="473">
        <v>0</v>
      </c>
      <c r="BE70" s="479"/>
      <c r="BF70" s="479"/>
      <c r="BG70" s="472">
        <f t="shared" si="25"/>
        <v>0</v>
      </c>
      <c r="BH70" s="472" t="e">
        <f t="shared" si="26"/>
        <v>#DIV/0!</v>
      </c>
      <c r="BI70" s="472">
        <f t="shared" si="27"/>
        <v>0.5</v>
      </c>
      <c r="BJ70" s="472" t="e">
        <f t="shared" si="28"/>
        <v>#DIV/0!</v>
      </c>
      <c r="BK70" s="472"/>
      <c r="BL70" s="533">
        <f t="shared" si="6"/>
        <v>0.33333333333333331</v>
      </c>
      <c r="BM70" s="533" t="str">
        <f t="shared" si="7"/>
        <v>No Prog ni Ejec</v>
      </c>
      <c r="BN70" s="533">
        <f t="shared" si="8"/>
        <v>1.6666666666666667</v>
      </c>
      <c r="BO70" s="533" t="str">
        <f t="shared" si="9"/>
        <v>No Prog ni Ejec</v>
      </c>
      <c r="BP70" s="533">
        <f t="shared" si="29"/>
        <v>0</v>
      </c>
      <c r="BQ70" s="533" t="str">
        <f t="shared" si="30"/>
        <v>No Prog ni Ejec</v>
      </c>
      <c r="BR70" s="533">
        <f t="shared" si="10"/>
        <v>0</v>
      </c>
      <c r="BS70" s="533" t="str">
        <f t="shared" si="11"/>
        <v>No Prog ni Ejec</v>
      </c>
      <c r="BT70" s="507">
        <f t="shared" si="14"/>
        <v>7</v>
      </c>
      <c r="BU70" s="481" t="str">
        <f t="shared" si="36"/>
        <v>Publicación del Giro Directo del giro previo</v>
      </c>
      <c r="BV70" s="482">
        <f t="shared" si="13"/>
        <v>0</v>
      </c>
      <c r="BW70" s="479"/>
      <c r="BX70" s="479"/>
      <c r="BY70" s="479"/>
      <c r="BZ70" s="479"/>
      <c r="CA70" s="479"/>
      <c r="CB70" s="479"/>
      <c r="CC70" s="479"/>
    </row>
    <row r="71" spans="1:81" s="428" customFormat="1" ht="63.75" x14ac:dyDescent="0.25">
      <c r="A71" s="468">
        <v>11500</v>
      </c>
      <c r="B71" s="469" t="s">
        <v>28</v>
      </c>
      <c r="C71" s="470" t="s">
        <v>263</v>
      </c>
      <c r="D71" s="469" t="s">
        <v>144</v>
      </c>
      <c r="E71" s="470" t="s">
        <v>533</v>
      </c>
      <c r="F71" s="469" t="s">
        <v>607</v>
      </c>
      <c r="G71" s="471" t="s">
        <v>123</v>
      </c>
      <c r="H71" s="472">
        <v>1</v>
      </c>
      <c r="I71" s="470" t="s">
        <v>534</v>
      </c>
      <c r="J71" s="469" t="s">
        <v>758</v>
      </c>
      <c r="K71" s="473">
        <v>0</v>
      </c>
      <c r="L71" s="474">
        <v>1</v>
      </c>
      <c r="M71" s="469" t="s">
        <v>46</v>
      </c>
      <c r="N71" s="469" t="s">
        <v>68</v>
      </c>
      <c r="O71" s="469" t="s">
        <v>21</v>
      </c>
      <c r="P71" s="469" t="s">
        <v>36</v>
      </c>
      <c r="Q71" s="469" t="s">
        <v>211</v>
      </c>
      <c r="R71" s="469" t="s">
        <v>622</v>
      </c>
      <c r="S71" s="469" t="s">
        <v>98</v>
      </c>
      <c r="T71" s="474">
        <v>1</v>
      </c>
      <c r="U71" s="475" t="str">
        <f t="shared" si="15"/>
        <v>Realizar informes de supervisión en el período</v>
      </c>
      <c r="V71" s="476">
        <f t="shared" si="16"/>
        <v>0</v>
      </c>
      <c r="W71" s="477" t="s">
        <v>117</v>
      </c>
      <c r="X71" s="472">
        <v>0.25</v>
      </c>
      <c r="Y71" s="484" t="str">
        <f t="shared" si="33"/>
        <v>Realizar informes de supervisión en el período</v>
      </c>
      <c r="Z71" s="473">
        <v>0</v>
      </c>
      <c r="AA71" s="480">
        <f>(1/1)*25%</f>
        <v>0.25</v>
      </c>
      <c r="AB71" s="482">
        <v>0</v>
      </c>
      <c r="AC71" s="478">
        <f t="shared" si="17"/>
        <v>1</v>
      </c>
      <c r="AD71" s="478" t="e">
        <f t="shared" si="18"/>
        <v>#DIV/0!</v>
      </c>
      <c r="AE71" s="478">
        <f t="shared" si="19"/>
        <v>0.25</v>
      </c>
      <c r="AF71" s="478" t="e">
        <f t="shared" si="0"/>
        <v>#DIV/0!</v>
      </c>
      <c r="AG71" s="478"/>
      <c r="AH71" s="472">
        <v>0.25</v>
      </c>
      <c r="AI71" s="484" t="str">
        <f t="shared" si="34"/>
        <v>Realizar informes de supervisión en el período</v>
      </c>
      <c r="AJ71" s="473">
        <v>0</v>
      </c>
      <c r="AK71" s="617">
        <f>(1/1)*AH71</f>
        <v>0.25</v>
      </c>
      <c r="AL71" s="616">
        <v>0</v>
      </c>
      <c r="AM71" s="478">
        <f t="shared" si="20"/>
        <v>1</v>
      </c>
      <c r="AN71" s="478" t="e">
        <f t="shared" si="1"/>
        <v>#DIV/0!</v>
      </c>
      <c r="AO71" s="478">
        <f t="shared" si="2"/>
        <v>0.5</v>
      </c>
      <c r="AP71" s="478" t="e">
        <f t="shared" si="3"/>
        <v>#DIV/0!</v>
      </c>
      <c r="AQ71" s="478"/>
      <c r="AR71" s="472">
        <v>0.25</v>
      </c>
      <c r="AS71" s="484" t="str">
        <f t="shared" si="31"/>
        <v>Realizar informes de supervisión en el período</v>
      </c>
      <c r="AT71" s="473">
        <v>0</v>
      </c>
      <c r="AU71" s="479"/>
      <c r="AV71" s="479"/>
      <c r="AW71" s="478">
        <f t="shared" si="21"/>
        <v>0</v>
      </c>
      <c r="AX71" s="478" t="e">
        <f t="shared" si="22"/>
        <v>#DIV/0!</v>
      </c>
      <c r="AY71" s="478">
        <f t="shared" si="23"/>
        <v>0.5</v>
      </c>
      <c r="AZ71" s="478" t="e">
        <f t="shared" si="24"/>
        <v>#DIV/0!</v>
      </c>
      <c r="BA71" s="478"/>
      <c r="BB71" s="472">
        <v>0.25</v>
      </c>
      <c r="BC71" s="484" t="str">
        <f t="shared" si="32"/>
        <v>Realizar informes de supervisión en el período</v>
      </c>
      <c r="BD71" s="473">
        <v>0</v>
      </c>
      <c r="BE71" s="479"/>
      <c r="BF71" s="479"/>
      <c r="BG71" s="472">
        <f t="shared" si="25"/>
        <v>0</v>
      </c>
      <c r="BH71" s="472" t="e">
        <f t="shared" si="26"/>
        <v>#DIV/0!</v>
      </c>
      <c r="BI71" s="472">
        <f t="shared" si="27"/>
        <v>0.5</v>
      </c>
      <c r="BJ71" s="472" t="e">
        <f t="shared" si="28"/>
        <v>#DIV/0!</v>
      </c>
      <c r="BK71" s="472"/>
      <c r="BL71" s="533">
        <f t="shared" si="6"/>
        <v>1</v>
      </c>
      <c r="BM71" s="533" t="str">
        <f t="shared" si="7"/>
        <v>No Prog ni Ejec</v>
      </c>
      <c r="BN71" s="533">
        <f t="shared" si="8"/>
        <v>1</v>
      </c>
      <c r="BO71" s="533" t="str">
        <f t="shared" si="9"/>
        <v>No Prog ni Ejec</v>
      </c>
      <c r="BP71" s="533">
        <f t="shared" si="29"/>
        <v>0</v>
      </c>
      <c r="BQ71" s="533" t="str">
        <f t="shared" si="30"/>
        <v>No Prog ni Ejec</v>
      </c>
      <c r="BR71" s="533">
        <f t="shared" si="10"/>
        <v>0</v>
      </c>
      <c r="BS71" s="533" t="str">
        <f t="shared" si="11"/>
        <v>No Prog ni Ejec</v>
      </c>
      <c r="BT71" s="480">
        <f t="shared" si="14"/>
        <v>0.58333333333333337</v>
      </c>
      <c r="BU71" s="481" t="str">
        <f t="shared" si="36"/>
        <v>Realizar informes de supervisión en el período</v>
      </c>
      <c r="BV71" s="482">
        <f t="shared" si="13"/>
        <v>0</v>
      </c>
      <c r="BW71" s="479"/>
      <c r="BX71" s="479"/>
      <c r="BY71" s="479"/>
      <c r="BZ71" s="479"/>
      <c r="CA71" s="479"/>
      <c r="CB71" s="479"/>
      <c r="CC71" s="479"/>
    </row>
    <row r="72" spans="1:81" s="428" customFormat="1" ht="76.5" x14ac:dyDescent="0.25">
      <c r="A72" s="468">
        <v>11500</v>
      </c>
      <c r="B72" s="469" t="s">
        <v>28</v>
      </c>
      <c r="C72" s="470" t="s">
        <v>263</v>
      </c>
      <c r="D72" s="469" t="s">
        <v>144</v>
      </c>
      <c r="E72" s="470" t="s">
        <v>535</v>
      </c>
      <c r="F72" s="469" t="s">
        <v>609</v>
      </c>
      <c r="G72" s="471" t="s">
        <v>384</v>
      </c>
      <c r="H72" s="512">
        <v>4</v>
      </c>
      <c r="I72" s="470" t="s">
        <v>536</v>
      </c>
      <c r="J72" s="469" t="s">
        <v>610</v>
      </c>
      <c r="K72" s="473">
        <v>0</v>
      </c>
      <c r="L72" s="474">
        <v>1</v>
      </c>
      <c r="M72" s="469" t="s">
        <v>46</v>
      </c>
      <c r="N72" s="469" t="s">
        <v>68</v>
      </c>
      <c r="O72" s="469" t="s">
        <v>21</v>
      </c>
      <c r="P72" s="469" t="s">
        <v>36</v>
      </c>
      <c r="Q72" s="469" t="s">
        <v>211</v>
      </c>
      <c r="R72" s="469" t="s">
        <v>623</v>
      </c>
      <c r="S72" s="469" t="s">
        <v>98</v>
      </c>
      <c r="T72" s="509">
        <v>4</v>
      </c>
      <c r="U72" s="475" t="str">
        <f t="shared" si="15"/>
        <v xml:space="preserve">Realizar boletines con resultados del proceso de reconocimiento y pago de recobros por concepto de servicios y tecnologías no cubiertos por el plan de beneficios con cargo a la UPC </v>
      </c>
      <c r="V72" s="476">
        <f t="shared" si="16"/>
        <v>0</v>
      </c>
      <c r="W72" s="477" t="s">
        <v>117</v>
      </c>
      <c r="X72" s="501">
        <v>1</v>
      </c>
      <c r="Y72" s="484" t="str">
        <f t="shared" si="33"/>
        <v xml:space="preserve">Realizar boletines con resultados del proceso de reconocimiento y pago de recobros por concepto de servicios y tecnologías no cubiertos por el plan de beneficios con cargo a la UPC </v>
      </c>
      <c r="Z72" s="473">
        <v>0</v>
      </c>
      <c r="AA72" s="479">
        <v>1</v>
      </c>
      <c r="AB72" s="482">
        <v>0</v>
      </c>
      <c r="AC72" s="478">
        <f t="shared" si="17"/>
        <v>1</v>
      </c>
      <c r="AD72" s="478" t="e">
        <f t="shared" si="18"/>
        <v>#DIV/0!</v>
      </c>
      <c r="AE72" s="478">
        <f t="shared" si="19"/>
        <v>0.25</v>
      </c>
      <c r="AF72" s="478" t="e">
        <f t="shared" si="0"/>
        <v>#DIV/0!</v>
      </c>
      <c r="AG72" s="478"/>
      <c r="AH72" s="501">
        <v>1</v>
      </c>
      <c r="AI72" s="484" t="str">
        <f t="shared" si="34"/>
        <v xml:space="preserve">Realizar boletines con resultados del proceso de reconocimiento y pago de recobros por concepto de servicios y tecnologías no cubiertos por el plan de beneficios con cargo a la UPC </v>
      </c>
      <c r="AJ72" s="473">
        <v>0</v>
      </c>
      <c r="AK72" s="658">
        <v>1</v>
      </c>
      <c r="AL72" s="616">
        <v>0</v>
      </c>
      <c r="AM72" s="478">
        <f t="shared" si="20"/>
        <v>1</v>
      </c>
      <c r="AN72" s="478" t="e">
        <f t="shared" si="1"/>
        <v>#DIV/0!</v>
      </c>
      <c r="AO72" s="478">
        <f t="shared" si="2"/>
        <v>0.5</v>
      </c>
      <c r="AP72" s="478" t="e">
        <f t="shared" si="3"/>
        <v>#DIV/0!</v>
      </c>
      <c r="AQ72" s="478"/>
      <c r="AR72" s="501">
        <v>1</v>
      </c>
      <c r="AS72" s="484" t="str">
        <f t="shared" si="31"/>
        <v xml:space="preserve">Realizar boletines con resultados del proceso de reconocimiento y pago de recobros por concepto de servicios y tecnologías no cubiertos por el plan de beneficios con cargo a la UPC </v>
      </c>
      <c r="AT72" s="473">
        <v>0</v>
      </c>
      <c r="AU72" s="479"/>
      <c r="AV72" s="479"/>
      <c r="AW72" s="478">
        <f t="shared" si="21"/>
        <v>0</v>
      </c>
      <c r="AX72" s="478" t="e">
        <f t="shared" si="22"/>
        <v>#DIV/0!</v>
      </c>
      <c r="AY72" s="478">
        <f t="shared" si="23"/>
        <v>0.5</v>
      </c>
      <c r="AZ72" s="478" t="e">
        <f t="shared" si="24"/>
        <v>#DIV/0!</v>
      </c>
      <c r="BA72" s="478"/>
      <c r="BB72" s="501">
        <v>1</v>
      </c>
      <c r="BC72" s="484" t="str">
        <f t="shared" si="32"/>
        <v xml:space="preserve">Realizar boletines con resultados del proceso de reconocimiento y pago de recobros por concepto de servicios y tecnologías no cubiertos por el plan de beneficios con cargo a la UPC </v>
      </c>
      <c r="BD72" s="473">
        <v>0</v>
      </c>
      <c r="BE72" s="479"/>
      <c r="BF72" s="479"/>
      <c r="BG72" s="472">
        <f t="shared" si="25"/>
        <v>0</v>
      </c>
      <c r="BH72" s="472" t="e">
        <f t="shared" si="26"/>
        <v>#DIV/0!</v>
      </c>
      <c r="BI72" s="472">
        <f t="shared" si="27"/>
        <v>0.5</v>
      </c>
      <c r="BJ72" s="472" t="e">
        <f t="shared" si="28"/>
        <v>#DIV/0!</v>
      </c>
      <c r="BK72" s="472"/>
      <c r="BL72" s="533">
        <f t="shared" si="6"/>
        <v>1</v>
      </c>
      <c r="BM72" s="533" t="str">
        <f t="shared" si="7"/>
        <v>No Prog ni Ejec</v>
      </c>
      <c r="BN72" s="533">
        <f t="shared" si="8"/>
        <v>1</v>
      </c>
      <c r="BO72" s="533" t="str">
        <f t="shared" si="9"/>
        <v>No Prog ni Ejec</v>
      </c>
      <c r="BP72" s="533">
        <f t="shared" si="29"/>
        <v>0</v>
      </c>
      <c r="BQ72" s="533" t="str">
        <f t="shared" si="30"/>
        <v>No Prog ni Ejec</v>
      </c>
      <c r="BR72" s="533">
        <f t="shared" si="10"/>
        <v>0</v>
      </c>
      <c r="BS72" s="533" t="str">
        <f t="shared" si="11"/>
        <v>No Prog ni Ejec</v>
      </c>
      <c r="BT72" s="507">
        <f t="shared" si="14"/>
        <v>2.3333333333333335</v>
      </c>
      <c r="BU72" s="481" t="str">
        <f t="shared" si="36"/>
        <v xml:space="preserve">Realizar boletines con resultados del proceso de reconocimiento y pago de recobros por concepto de servicios y tecnologías no cubiertos por el plan de beneficios con cargo a la UPC </v>
      </c>
      <c r="BV72" s="482">
        <f t="shared" si="13"/>
        <v>0</v>
      </c>
      <c r="BW72" s="479"/>
      <c r="BX72" s="479"/>
      <c r="BY72" s="479"/>
      <c r="BZ72" s="479"/>
      <c r="CA72" s="479"/>
      <c r="CB72" s="479"/>
      <c r="CC72" s="479"/>
    </row>
    <row r="73" spans="1:81" s="428" customFormat="1" ht="63.75" x14ac:dyDescent="0.25">
      <c r="A73" s="468">
        <v>11500</v>
      </c>
      <c r="B73" s="469" t="s">
        <v>28</v>
      </c>
      <c r="C73" s="470" t="s">
        <v>611</v>
      </c>
      <c r="D73" s="469" t="s">
        <v>146</v>
      </c>
      <c r="E73" s="470" t="s">
        <v>537</v>
      </c>
      <c r="F73" s="469" t="s">
        <v>612</v>
      </c>
      <c r="G73" s="471" t="s">
        <v>123</v>
      </c>
      <c r="H73" s="472">
        <v>1</v>
      </c>
      <c r="I73" s="470" t="s">
        <v>538</v>
      </c>
      <c r="J73" s="469" t="s">
        <v>613</v>
      </c>
      <c r="K73" s="670">
        <v>244800000</v>
      </c>
      <c r="L73" s="472">
        <v>1</v>
      </c>
      <c r="M73" s="469" t="s">
        <v>46</v>
      </c>
      <c r="N73" s="469" t="s">
        <v>68</v>
      </c>
      <c r="O73" s="469" t="s">
        <v>21</v>
      </c>
      <c r="P73" s="469" t="s">
        <v>36</v>
      </c>
      <c r="Q73" s="469" t="s">
        <v>211</v>
      </c>
      <c r="R73" s="469" t="s">
        <v>759</v>
      </c>
      <c r="S73" s="469" t="s">
        <v>98</v>
      </c>
      <c r="T73" s="474">
        <v>1</v>
      </c>
      <c r="U73" s="475" t="str">
        <f t="shared" si="15"/>
        <v>Entregar apoyos técnicos a la OAJ en recobros y reclamaciones una vez son resueltos por la Dirección de Tecnología de la Información</v>
      </c>
      <c r="V73" s="476">
        <f t="shared" si="16"/>
        <v>244800000</v>
      </c>
      <c r="W73" s="477" t="s">
        <v>114</v>
      </c>
      <c r="X73" s="472">
        <v>0.25</v>
      </c>
      <c r="Y73" s="484" t="str">
        <f t="shared" si="33"/>
        <v>Entregar apoyos técnicos a la OAJ en recobros y reclamaciones una vez son resueltos por la Dirección de Tecnología de la Información</v>
      </c>
      <c r="Z73" s="473">
        <f>+V73*X73</f>
        <v>61200000</v>
      </c>
      <c r="AA73" s="480">
        <f>(266/266)*25%</f>
        <v>0.25</v>
      </c>
      <c r="AB73" s="482">
        <v>12784000</v>
      </c>
      <c r="AC73" s="478">
        <f t="shared" si="17"/>
        <v>1</v>
      </c>
      <c r="AD73" s="478">
        <f t="shared" si="18"/>
        <v>0.2088888888888889</v>
      </c>
      <c r="AE73" s="478">
        <f t="shared" si="19"/>
        <v>0.25</v>
      </c>
      <c r="AF73" s="478">
        <f t="shared" si="0"/>
        <v>5.2222222222222225E-2</v>
      </c>
      <c r="AG73" s="478"/>
      <c r="AH73" s="472">
        <v>0.25</v>
      </c>
      <c r="AI73" s="484" t="str">
        <f t="shared" si="34"/>
        <v>Entregar apoyos técnicos a la OAJ en recobros y reclamaciones una vez son resueltos por la Dirección de Tecnología de la Información</v>
      </c>
      <c r="AJ73" s="473">
        <v>61200000</v>
      </c>
      <c r="AK73" s="655">
        <f>(227/227)*25%</f>
        <v>0.25</v>
      </c>
      <c r="AL73" s="684">
        <v>24480000</v>
      </c>
      <c r="AM73" s="478">
        <f t="shared" si="20"/>
        <v>1</v>
      </c>
      <c r="AN73" s="478">
        <f t="shared" si="1"/>
        <v>0.4</v>
      </c>
      <c r="AO73" s="478">
        <f t="shared" si="2"/>
        <v>0.5</v>
      </c>
      <c r="AP73" s="478">
        <f t="shared" si="3"/>
        <v>0.15222222222222223</v>
      </c>
      <c r="AQ73" s="478"/>
      <c r="AR73" s="472">
        <v>0.25</v>
      </c>
      <c r="AS73" s="484" t="str">
        <f t="shared" si="31"/>
        <v>Entregar apoyos técnicos a la OAJ en recobros y reclamaciones una vez son resueltos por la Dirección de Tecnología de la Información</v>
      </c>
      <c r="AT73" s="473">
        <v>61200000</v>
      </c>
      <c r="AU73" s="479"/>
      <c r="AV73" s="479"/>
      <c r="AW73" s="478">
        <f t="shared" si="21"/>
        <v>0</v>
      </c>
      <c r="AX73" s="478">
        <f t="shared" si="22"/>
        <v>0</v>
      </c>
      <c r="AY73" s="478">
        <f t="shared" si="23"/>
        <v>0.5</v>
      </c>
      <c r="AZ73" s="478">
        <f t="shared" si="24"/>
        <v>0.15222222222222223</v>
      </c>
      <c r="BA73" s="478"/>
      <c r="BB73" s="472">
        <v>0.25</v>
      </c>
      <c r="BC73" s="484" t="str">
        <f t="shared" si="32"/>
        <v>Entregar apoyos técnicos a la OAJ en recobros y reclamaciones una vez son resueltos por la Dirección de Tecnología de la Información</v>
      </c>
      <c r="BD73" s="473">
        <v>61200000</v>
      </c>
      <c r="BE73" s="479"/>
      <c r="BF73" s="479"/>
      <c r="BG73" s="472">
        <f t="shared" si="25"/>
        <v>0</v>
      </c>
      <c r="BH73" s="472">
        <f t="shared" si="26"/>
        <v>0</v>
      </c>
      <c r="BI73" s="472">
        <f t="shared" si="27"/>
        <v>0.5</v>
      </c>
      <c r="BJ73" s="472">
        <f t="shared" si="28"/>
        <v>0.15222222222222223</v>
      </c>
      <c r="BK73" s="472"/>
      <c r="BL73" s="533">
        <f t="shared" si="6"/>
        <v>1</v>
      </c>
      <c r="BM73" s="533">
        <f t="shared" si="7"/>
        <v>0.2088888888888889</v>
      </c>
      <c r="BN73" s="533">
        <f t="shared" si="8"/>
        <v>1</v>
      </c>
      <c r="BO73" s="533">
        <f t="shared" si="9"/>
        <v>0.4</v>
      </c>
      <c r="BP73" s="533">
        <f t="shared" si="29"/>
        <v>0</v>
      </c>
      <c r="BQ73" s="533">
        <f t="shared" si="30"/>
        <v>0</v>
      </c>
      <c r="BR73" s="533">
        <f t="shared" si="10"/>
        <v>0</v>
      </c>
      <c r="BS73" s="533">
        <f t="shared" si="11"/>
        <v>0</v>
      </c>
      <c r="BT73" s="480">
        <f t="shared" si="14"/>
        <v>0.58333333333333337</v>
      </c>
      <c r="BU73" s="481" t="str">
        <f t="shared" si="36"/>
        <v>Entregar apoyos técnicos a la OAJ en recobros y reclamaciones una vez son resueltos por la Dirección de Tecnología de la Información</v>
      </c>
      <c r="BV73" s="482">
        <f t="shared" si="13"/>
        <v>142800000</v>
      </c>
      <c r="BW73" s="479"/>
      <c r="BX73" s="479"/>
      <c r="BY73" s="479"/>
      <c r="BZ73" s="479"/>
      <c r="CA73" s="479"/>
      <c r="CB73" s="479"/>
      <c r="CC73" s="479"/>
    </row>
    <row r="74" spans="1:81" s="428" customFormat="1" ht="76.5" x14ac:dyDescent="0.25">
      <c r="A74" s="468">
        <v>11500</v>
      </c>
      <c r="B74" s="469" t="s">
        <v>28</v>
      </c>
      <c r="C74" s="470" t="s">
        <v>263</v>
      </c>
      <c r="D74" s="469" t="s">
        <v>144</v>
      </c>
      <c r="E74" s="470" t="s">
        <v>618</v>
      </c>
      <c r="F74" s="469" t="s">
        <v>614</v>
      </c>
      <c r="G74" s="471" t="s">
        <v>123</v>
      </c>
      <c r="H74" s="472">
        <v>1</v>
      </c>
      <c r="I74" s="470" t="s">
        <v>620</v>
      </c>
      <c r="J74" s="469" t="s">
        <v>615</v>
      </c>
      <c r="K74" s="670">
        <v>0</v>
      </c>
      <c r="L74" s="474">
        <v>1</v>
      </c>
      <c r="M74" s="469" t="s">
        <v>46</v>
      </c>
      <c r="N74" s="469" t="s">
        <v>68</v>
      </c>
      <c r="O74" s="469" t="s">
        <v>21</v>
      </c>
      <c r="P74" s="469" t="s">
        <v>36</v>
      </c>
      <c r="Q74" s="469" t="s">
        <v>211</v>
      </c>
      <c r="R74" s="469" t="s">
        <v>676</v>
      </c>
      <c r="S74" s="469" t="s">
        <v>98</v>
      </c>
      <c r="T74" s="474">
        <v>1</v>
      </c>
      <c r="U74" s="475" t="str">
        <f t="shared" si="15"/>
        <v>Pagar paquetes de reclamaciones de acuerdo con lo definido en la normativa vigente</v>
      </c>
      <c r="V74" s="476">
        <f>+K74</f>
        <v>0</v>
      </c>
      <c r="W74" s="477" t="s">
        <v>117</v>
      </c>
      <c r="X74" s="472">
        <v>0.25</v>
      </c>
      <c r="Y74" s="484" t="str">
        <f t="shared" si="33"/>
        <v>Pagar paquetes de reclamaciones de acuerdo con lo definido en la normativa vigente</v>
      </c>
      <c r="Z74" s="473">
        <v>0</v>
      </c>
      <c r="AA74" s="559">
        <f>(7/7)*25%</f>
        <v>0.25</v>
      </c>
      <c r="AB74" s="482">
        <v>0</v>
      </c>
      <c r="AC74" s="478">
        <f t="shared" si="17"/>
        <v>1</v>
      </c>
      <c r="AD74" s="478" t="e">
        <f t="shared" si="18"/>
        <v>#DIV/0!</v>
      </c>
      <c r="AE74" s="478">
        <f t="shared" si="19"/>
        <v>0.25</v>
      </c>
      <c r="AF74" s="478" t="e">
        <f t="shared" si="0"/>
        <v>#DIV/0!</v>
      </c>
      <c r="AG74" s="478"/>
      <c r="AH74" s="472">
        <v>0.25</v>
      </c>
      <c r="AI74" s="484" t="str">
        <f t="shared" si="34"/>
        <v>Pagar paquetes de reclamaciones de acuerdo con lo definido en la normativa vigente</v>
      </c>
      <c r="AJ74" s="473">
        <v>0</v>
      </c>
      <c r="AK74" s="657">
        <f>(12/12)*25%</f>
        <v>0.25</v>
      </c>
      <c r="AL74" s="616">
        <v>0</v>
      </c>
      <c r="AM74" s="478">
        <f t="shared" si="20"/>
        <v>1</v>
      </c>
      <c r="AN74" s="478" t="e">
        <f t="shared" si="1"/>
        <v>#DIV/0!</v>
      </c>
      <c r="AO74" s="478">
        <f t="shared" si="2"/>
        <v>0.5</v>
      </c>
      <c r="AP74" s="478" t="e">
        <f t="shared" si="3"/>
        <v>#DIV/0!</v>
      </c>
      <c r="AQ74" s="478"/>
      <c r="AR74" s="472">
        <v>0.25</v>
      </c>
      <c r="AS74" s="484" t="str">
        <f t="shared" si="31"/>
        <v>Pagar paquetes de reclamaciones de acuerdo con lo definido en la normativa vigente</v>
      </c>
      <c r="AT74" s="473">
        <v>0</v>
      </c>
      <c r="AU74" s="479"/>
      <c r="AV74" s="479"/>
      <c r="AW74" s="478">
        <f t="shared" si="21"/>
        <v>0</v>
      </c>
      <c r="AX74" s="478" t="e">
        <f t="shared" si="22"/>
        <v>#DIV/0!</v>
      </c>
      <c r="AY74" s="478">
        <f t="shared" si="23"/>
        <v>0.5</v>
      </c>
      <c r="AZ74" s="478" t="e">
        <f t="shared" si="24"/>
        <v>#DIV/0!</v>
      </c>
      <c r="BA74" s="478"/>
      <c r="BB74" s="472">
        <v>0.25</v>
      </c>
      <c r="BC74" s="484" t="str">
        <f t="shared" si="32"/>
        <v>Pagar paquetes de reclamaciones de acuerdo con lo definido en la normativa vigente</v>
      </c>
      <c r="BD74" s="473">
        <v>0</v>
      </c>
      <c r="BE74" s="479"/>
      <c r="BF74" s="479"/>
      <c r="BG74" s="472">
        <f t="shared" si="25"/>
        <v>0</v>
      </c>
      <c r="BH74" s="472" t="e">
        <f t="shared" si="26"/>
        <v>#DIV/0!</v>
      </c>
      <c r="BI74" s="472">
        <f t="shared" si="27"/>
        <v>0.5</v>
      </c>
      <c r="BJ74" s="472" t="e">
        <f t="shared" si="28"/>
        <v>#DIV/0!</v>
      </c>
      <c r="BK74" s="472"/>
      <c r="BL74" s="533">
        <f t="shared" si="6"/>
        <v>1</v>
      </c>
      <c r="BM74" s="533" t="str">
        <f t="shared" si="7"/>
        <v>No Prog ni Ejec</v>
      </c>
      <c r="BN74" s="533">
        <f t="shared" si="8"/>
        <v>1</v>
      </c>
      <c r="BO74" s="533" t="str">
        <f t="shared" si="9"/>
        <v>No Prog ni Ejec</v>
      </c>
      <c r="BP74" s="533">
        <f t="shared" si="29"/>
        <v>0</v>
      </c>
      <c r="BQ74" s="533" t="str">
        <f t="shared" si="30"/>
        <v>No Prog ni Ejec</v>
      </c>
      <c r="BR74" s="533">
        <f t="shared" si="10"/>
        <v>0</v>
      </c>
      <c r="BS74" s="533" t="str">
        <f t="shared" si="11"/>
        <v>No Prog ni Ejec</v>
      </c>
      <c r="BT74" s="480">
        <f t="shared" si="14"/>
        <v>0.58333333333333337</v>
      </c>
      <c r="BU74" s="481" t="str">
        <f t="shared" si="36"/>
        <v>Pagar paquetes de reclamaciones de acuerdo con lo definido en la normativa vigente</v>
      </c>
      <c r="BV74" s="482">
        <f t="shared" ref="BV74:BV138" si="40">+(Z74+AJ74+(AT74/3))</f>
        <v>0</v>
      </c>
      <c r="BW74" s="479"/>
      <c r="BX74" s="479"/>
      <c r="BY74" s="479"/>
      <c r="BZ74" s="479"/>
      <c r="CA74" s="479"/>
      <c r="CB74" s="479"/>
      <c r="CC74" s="479"/>
    </row>
    <row r="75" spans="1:81" s="428" customFormat="1" ht="63.75" x14ac:dyDescent="0.25">
      <c r="A75" s="468">
        <v>11500</v>
      </c>
      <c r="B75" s="469" t="s">
        <v>28</v>
      </c>
      <c r="C75" s="470" t="s">
        <v>263</v>
      </c>
      <c r="D75" s="469" t="s">
        <v>144</v>
      </c>
      <c r="E75" s="470" t="s">
        <v>619</v>
      </c>
      <c r="F75" s="469" t="s">
        <v>616</v>
      </c>
      <c r="G75" s="471" t="s">
        <v>384</v>
      </c>
      <c r="H75" s="512">
        <v>4</v>
      </c>
      <c r="I75" s="470" t="s">
        <v>621</v>
      </c>
      <c r="J75" s="469" t="s">
        <v>617</v>
      </c>
      <c r="K75" s="473">
        <v>0</v>
      </c>
      <c r="L75" s="474">
        <v>1</v>
      </c>
      <c r="M75" s="469" t="s">
        <v>46</v>
      </c>
      <c r="N75" s="469" t="s">
        <v>68</v>
      </c>
      <c r="O75" s="469" t="s">
        <v>21</v>
      </c>
      <c r="P75" s="469" t="s">
        <v>36</v>
      </c>
      <c r="Q75" s="469" t="s">
        <v>211</v>
      </c>
      <c r="R75" s="469" t="s">
        <v>623</v>
      </c>
      <c r="S75" s="469" t="s">
        <v>98</v>
      </c>
      <c r="T75" s="509">
        <v>4</v>
      </c>
      <c r="U75" s="475" t="str">
        <f t="shared" si="15"/>
        <v>Generar boletines con resultados del proceso reclamaciones</v>
      </c>
      <c r="V75" s="476">
        <f t="shared" si="16"/>
        <v>0</v>
      </c>
      <c r="W75" s="477" t="s">
        <v>117</v>
      </c>
      <c r="X75" s="501">
        <v>1</v>
      </c>
      <c r="Y75" s="484" t="str">
        <f t="shared" si="33"/>
        <v>Generar boletines con resultados del proceso reclamaciones</v>
      </c>
      <c r="Z75" s="473">
        <v>0</v>
      </c>
      <c r="AA75" s="479">
        <v>1</v>
      </c>
      <c r="AB75" s="482">
        <v>0</v>
      </c>
      <c r="AC75" s="478">
        <f t="shared" si="17"/>
        <v>1</v>
      </c>
      <c r="AD75" s="478" t="e">
        <f t="shared" si="18"/>
        <v>#DIV/0!</v>
      </c>
      <c r="AE75" s="478">
        <f t="shared" si="19"/>
        <v>0.25</v>
      </c>
      <c r="AF75" s="478" t="e">
        <f t="shared" si="0"/>
        <v>#DIV/0!</v>
      </c>
      <c r="AG75" s="478"/>
      <c r="AH75" s="501">
        <v>1</v>
      </c>
      <c r="AI75" s="484" t="str">
        <f t="shared" si="34"/>
        <v>Generar boletines con resultados del proceso reclamaciones</v>
      </c>
      <c r="AJ75" s="473">
        <v>0</v>
      </c>
      <c r="AK75" s="658">
        <v>1</v>
      </c>
      <c r="AL75" s="616">
        <v>0</v>
      </c>
      <c r="AM75" s="478">
        <f t="shared" si="20"/>
        <v>1</v>
      </c>
      <c r="AN75" s="478" t="e">
        <f t="shared" si="1"/>
        <v>#DIV/0!</v>
      </c>
      <c r="AO75" s="478">
        <f t="shared" si="2"/>
        <v>0.5</v>
      </c>
      <c r="AP75" s="478" t="e">
        <f t="shared" si="3"/>
        <v>#DIV/0!</v>
      </c>
      <c r="AQ75" s="478"/>
      <c r="AR75" s="501">
        <v>1</v>
      </c>
      <c r="AS75" s="484" t="str">
        <f t="shared" si="31"/>
        <v>Generar boletines con resultados del proceso reclamaciones</v>
      </c>
      <c r="AT75" s="473">
        <v>0</v>
      </c>
      <c r="AU75" s="479"/>
      <c r="AV75" s="479"/>
      <c r="AW75" s="478">
        <f t="shared" si="21"/>
        <v>0</v>
      </c>
      <c r="AX75" s="478" t="e">
        <f t="shared" si="22"/>
        <v>#DIV/0!</v>
      </c>
      <c r="AY75" s="478">
        <f t="shared" si="23"/>
        <v>0.5</v>
      </c>
      <c r="AZ75" s="478" t="e">
        <f t="shared" si="24"/>
        <v>#DIV/0!</v>
      </c>
      <c r="BA75" s="478"/>
      <c r="BB75" s="501">
        <v>1</v>
      </c>
      <c r="BC75" s="484" t="str">
        <f t="shared" si="32"/>
        <v>Generar boletines con resultados del proceso reclamaciones</v>
      </c>
      <c r="BD75" s="473">
        <v>0</v>
      </c>
      <c r="BE75" s="479"/>
      <c r="BF75" s="479"/>
      <c r="BG75" s="472">
        <f t="shared" si="25"/>
        <v>0</v>
      </c>
      <c r="BH75" s="472" t="e">
        <f t="shared" si="26"/>
        <v>#DIV/0!</v>
      </c>
      <c r="BI75" s="472">
        <f t="shared" si="27"/>
        <v>0.5</v>
      </c>
      <c r="BJ75" s="472" t="e">
        <f t="shared" si="28"/>
        <v>#DIV/0!</v>
      </c>
      <c r="BK75" s="472"/>
      <c r="BL75" s="533">
        <f t="shared" si="6"/>
        <v>1</v>
      </c>
      <c r="BM75" s="533" t="str">
        <f t="shared" si="7"/>
        <v>No Prog ni Ejec</v>
      </c>
      <c r="BN75" s="533">
        <f t="shared" si="8"/>
        <v>1</v>
      </c>
      <c r="BO75" s="533" t="str">
        <f t="shared" si="9"/>
        <v>No Prog ni Ejec</v>
      </c>
      <c r="BP75" s="533">
        <f t="shared" si="29"/>
        <v>0</v>
      </c>
      <c r="BQ75" s="533" t="str">
        <f t="shared" si="30"/>
        <v>No Prog ni Ejec</v>
      </c>
      <c r="BR75" s="533">
        <f t="shared" si="10"/>
        <v>0</v>
      </c>
      <c r="BS75" s="533" t="str">
        <f t="shared" si="11"/>
        <v>No Prog ni Ejec</v>
      </c>
      <c r="BT75" s="507">
        <f t="shared" si="14"/>
        <v>2.3333333333333335</v>
      </c>
      <c r="BU75" s="481" t="str">
        <f t="shared" si="36"/>
        <v>Generar boletines con resultados del proceso reclamaciones</v>
      </c>
      <c r="BV75" s="482">
        <f t="shared" si="40"/>
        <v>0</v>
      </c>
      <c r="BW75" s="479"/>
      <c r="BX75" s="479"/>
      <c r="BY75" s="479"/>
      <c r="BZ75" s="479"/>
      <c r="CA75" s="479"/>
      <c r="CB75" s="479"/>
      <c r="CC75" s="479"/>
    </row>
    <row r="76" spans="1:81" s="428" customFormat="1" ht="51" x14ac:dyDescent="0.25">
      <c r="A76" s="468">
        <v>11600</v>
      </c>
      <c r="B76" s="469" t="s">
        <v>6</v>
      </c>
      <c r="C76" s="470" t="s">
        <v>266</v>
      </c>
      <c r="D76" s="469" t="s">
        <v>153</v>
      </c>
      <c r="E76" s="470" t="s">
        <v>268</v>
      </c>
      <c r="F76" s="469" t="s">
        <v>133</v>
      </c>
      <c r="G76" s="471" t="s">
        <v>124</v>
      </c>
      <c r="H76" s="470">
        <v>4</v>
      </c>
      <c r="I76" s="470" t="s">
        <v>271</v>
      </c>
      <c r="J76" s="469" t="s">
        <v>24</v>
      </c>
      <c r="K76" s="635">
        <v>0</v>
      </c>
      <c r="L76" s="474">
        <v>1</v>
      </c>
      <c r="M76" s="469" t="s">
        <v>51</v>
      </c>
      <c r="N76" s="469" t="s">
        <v>68</v>
      </c>
      <c r="O76" s="469" t="s">
        <v>21</v>
      </c>
      <c r="P76" s="469" t="s">
        <v>36</v>
      </c>
      <c r="Q76" s="469" t="s">
        <v>75</v>
      </c>
      <c r="R76" s="469" t="s">
        <v>631</v>
      </c>
      <c r="S76" s="469" t="s">
        <v>98</v>
      </c>
      <c r="T76" s="470">
        <v>4</v>
      </c>
      <c r="U76" s="475" t="str">
        <f t="shared" si="15"/>
        <v>Reportar el cumplimiento del Plan de Acción de la Dependencia</v>
      </c>
      <c r="V76" s="476">
        <f t="shared" si="16"/>
        <v>0</v>
      </c>
      <c r="W76" s="477" t="s">
        <v>117</v>
      </c>
      <c r="X76" s="501">
        <v>1</v>
      </c>
      <c r="Y76" s="484" t="str">
        <f t="shared" si="33"/>
        <v>Reportar el cumplimiento del Plan de Acción de la Dependencia</v>
      </c>
      <c r="Z76" s="473">
        <v>0</v>
      </c>
      <c r="AA76" s="513">
        <v>1</v>
      </c>
      <c r="AB76" s="564">
        <v>0</v>
      </c>
      <c r="AC76" s="478">
        <f t="shared" ref="AC76:AC142" si="41">+(AA76/X76)</f>
        <v>1</v>
      </c>
      <c r="AD76" s="478" t="e">
        <f t="shared" ref="AD76:AD142" si="42">+(AB76/Z76)</f>
        <v>#DIV/0!</v>
      </c>
      <c r="AE76" s="478">
        <f t="shared" ref="AE76:AE142" si="43">+(AA76/T76)</f>
        <v>0.25</v>
      </c>
      <c r="AF76" s="478" t="e">
        <f t="shared" ref="AF76:AF142" si="44">+(AB76/V76)</f>
        <v>#DIV/0!</v>
      </c>
      <c r="AG76" s="483" t="s">
        <v>984</v>
      </c>
      <c r="AH76" s="501">
        <v>1</v>
      </c>
      <c r="AI76" s="484" t="str">
        <f t="shared" si="34"/>
        <v>Reportar el cumplimiento del Plan de Acción de la Dependencia</v>
      </c>
      <c r="AJ76" s="473">
        <v>0</v>
      </c>
      <c r="AK76" s="621">
        <v>1</v>
      </c>
      <c r="AL76" s="616">
        <v>0</v>
      </c>
      <c r="AM76" s="478">
        <f t="shared" ref="AM76:AM142" si="45">+(AK76/AH76)</f>
        <v>1</v>
      </c>
      <c r="AN76" s="478" t="e">
        <f t="shared" ref="AN76:AN142" si="46">+(AL76/AJ76)</f>
        <v>#DIV/0!</v>
      </c>
      <c r="AO76" s="478">
        <f t="shared" ref="AO76:AO142" si="47">+(AK76+AA76)/T76</f>
        <v>0.5</v>
      </c>
      <c r="AP76" s="478" t="e">
        <f t="shared" ref="AP76:AP142" si="48">+(AL76+AB76)/V76</f>
        <v>#DIV/0!</v>
      </c>
      <c r="AQ76" s="624" t="s">
        <v>984</v>
      </c>
      <c r="AR76" s="501">
        <v>1</v>
      </c>
      <c r="AS76" s="484" t="str">
        <f t="shared" si="31"/>
        <v>Reportar el cumplimiento del Plan de Acción de la Dependencia</v>
      </c>
      <c r="AT76" s="473">
        <v>0</v>
      </c>
      <c r="AU76" s="479"/>
      <c r="AV76" s="479"/>
      <c r="AW76" s="478">
        <f t="shared" ref="AW76:AW142" si="49">+(AU76/AR76)</f>
        <v>0</v>
      </c>
      <c r="AX76" s="478" t="e">
        <f t="shared" ref="AX76:AX142" si="50">+(AV76/AT76)</f>
        <v>#DIV/0!</v>
      </c>
      <c r="AY76" s="478">
        <f t="shared" ref="AY76:AY142" si="51">+(AK76+AA76+AU76)/T76</f>
        <v>0.5</v>
      </c>
      <c r="AZ76" s="478" t="e">
        <f t="shared" ref="AZ76:AZ142" si="52">+(AL76+AB76+AV76)/V76</f>
        <v>#DIV/0!</v>
      </c>
      <c r="BA76" s="478"/>
      <c r="BB76" s="501">
        <v>1</v>
      </c>
      <c r="BC76" s="484" t="str">
        <f t="shared" si="32"/>
        <v>Reportar el cumplimiento del Plan de Acción de la Dependencia</v>
      </c>
      <c r="BD76" s="473">
        <v>0</v>
      </c>
      <c r="BE76" s="479"/>
      <c r="BF76" s="479"/>
      <c r="BG76" s="472">
        <f t="shared" si="25"/>
        <v>0</v>
      </c>
      <c r="BH76" s="472" t="e">
        <f t="shared" si="26"/>
        <v>#DIV/0!</v>
      </c>
      <c r="BI76" s="472">
        <f t="shared" si="27"/>
        <v>0.5</v>
      </c>
      <c r="BJ76" s="472" t="e">
        <f t="shared" si="28"/>
        <v>#DIV/0!</v>
      </c>
      <c r="BK76" s="472"/>
      <c r="BL76" s="533">
        <f t="shared" ref="BL76:BL142" si="53">IF(AND(X76=0,AA76=0),"No Prog ni Ejec",IF(X76=0,CONCATENATE("No Prog, Ejec=  ",AA76),AA76/X76))</f>
        <v>1</v>
      </c>
      <c r="BM76" s="533" t="str">
        <f t="shared" ref="BM76:BM142" si="54">IF(AND(Z76=0,AB76=0),"No Prog ni Ejec",IF(Z76=0,CONCATENATE("No Prog, Ejec=  ",AB76),AB76/Z76))</f>
        <v>No Prog ni Ejec</v>
      </c>
      <c r="BN76" s="533">
        <f t="shared" ref="BN76:BN142" si="55">IF(AND(AH76=0,AK76=0),"No Prog ni Ejec",IF(AH76=0,CONCATENATE("No Prog, Ejec=  ",AK76),AK76/AH76))</f>
        <v>1</v>
      </c>
      <c r="BO76" s="533" t="str">
        <f t="shared" ref="BO76:BO142" si="56">IF(AND(AJ76=0,AL76=0),"No Prog ni Ejec",IF(AJ76=0,CONCATENATE("No Prog, Ejec=  ",AL76),AL76/AJ76))</f>
        <v>No Prog ni Ejec</v>
      </c>
      <c r="BP76" s="533">
        <f t="shared" ref="BP76:BP142" si="57">IF(AND(AR76=0,AU76=0),"No Prog ni Ejec",IF(AR76=0,CONCATENATE("No Prog, Ejec=  ",AU76),AU76/AR76))</f>
        <v>0</v>
      </c>
      <c r="BQ76" s="533" t="str">
        <f t="shared" ref="BQ76:BQ142" si="58">IF(AND(AT76=0,AV76=0),"No Prog ni Ejec",IF(AT76=0,CONCATENATE("No Prog, Ejec=  ",AV76),AV76/AT76))</f>
        <v>No Prog ni Ejec</v>
      </c>
      <c r="BR76" s="533">
        <f t="shared" ref="BR76:BR142" si="59">IF(AND(BB76=0,BE76=0),"No Prog ni Ejec",IF(BB76=0,CONCATENATE("No Prog, Ejec=  ",BE76),BE76/BB76))</f>
        <v>0</v>
      </c>
      <c r="BS76" s="533" t="str">
        <f t="shared" ref="BS76:BS142" si="60">IF(AND(BD76=0,BF76=0),"No Prog ni Ejec",IF(BD76=0,CONCATENATE("No Prog, Ejec=  ",BF76),BF76/BD76))</f>
        <v>No Prog ni Ejec</v>
      </c>
      <c r="BT76" s="507">
        <f t="shared" ref="BT76:BT140" si="61">+(X76+AH76+(AR76/3))</f>
        <v>2.3333333333333335</v>
      </c>
      <c r="BU76" s="481" t="str">
        <f t="shared" si="36"/>
        <v>Reportar el cumplimiento del Plan de Acción de la Dependencia</v>
      </c>
      <c r="BV76" s="482">
        <f t="shared" si="40"/>
        <v>0</v>
      </c>
      <c r="BW76" s="479"/>
      <c r="BX76" s="479"/>
      <c r="BY76" s="479"/>
      <c r="BZ76" s="479"/>
      <c r="CA76" s="479"/>
      <c r="CB76" s="479"/>
      <c r="CC76" s="479"/>
    </row>
    <row r="77" spans="1:81" s="428" customFormat="1" ht="306" x14ac:dyDescent="0.25">
      <c r="A77" s="468">
        <v>11600</v>
      </c>
      <c r="B77" s="469" t="s">
        <v>6</v>
      </c>
      <c r="C77" s="470" t="s">
        <v>267</v>
      </c>
      <c r="D77" s="469" t="s">
        <v>256</v>
      </c>
      <c r="E77" s="470" t="s">
        <v>269</v>
      </c>
      <c r="F77" s="469" t="s">
        <v>159</v>
      </c>
      <c r="G77" s="471" t="s">
        <v>123</v>
      </c>
      <c r="H77" s="472">
        <v>1</v>
      </c>
      <c r="I77" s="470" t="s">
        <v>272</v>
      </c>
      <c r="J77" s="469" t="s">
        <v>598</v>
      </c>
      <c r="K77" s="635">
        <v>0</v>
      </c>
      <c r="L77" s="474">
        <v>1</v>
      </c>
      <c r="M77" s="469" t="s">
        <v>51</v>
      </c>
      <c r="N77" s="469" t="s">
        <v>68</v>
      </c>
      <c r="O77" s="469" t="s">
        <v>21</v>
      </c>
      <c r="P77" s="469" t="s">
        <v>36</v>
      </c>
      <c r="Q77" s="469" t="s">
        <v>75</v>
      </c>
      <c r="R77" s="469" t="s">
        <v>632</v>
      </c>
      <c r="S77" s="469" t="s">
        <v>98</v>
      </c>
      <c r="T77" s="474">
        <v>1</v>
      </c>
      <c r="U77" s="475" t="str">
        <f t="shared" ref="U77:U143" si="62">+J77</f>
        <v>Formular los procesos y procedimientos en el marco del MIPG</v>
      </c>
      <c r="V77" s="476">
        <f t="shared" ref="V77:V143" si="63">+K77</f>
        <v>0</v>
      </c>
      <c r="W77" s="477" t="s">
        <v>117</v>
      </c>
      <c r="X77" s="472">
        <v>0.25</v>
      </c>
      <c r="Y77" s="484" t="str">
        <f>+U77</f>
        <v>Formular los procesos y procedimientos en el marco del MIPG</v>
      </c>
      <c r="Z77" s="473">
        <v>0</v>
      </c>
      <c r="AA77" s="565">
        <v>0.46150000000000002</v>
      </c>
      <c r="AB77" s="564">
        <v>0</v>
      </c>
      <c r="AC77" s="478">
        <f t="shared" si="41"/>
        <v>1.8460000000000001</v>
      </c>
      <c r="AD77" s="478" t="e">
        <f t="shared" si="42"/>
        <v>#DIV/0!</v>
      </c>
      <c r="AE77" s="478">
        <f t="shared" si="43"/>
        <v>0.46150000000000002</v>
      </c>
      <c r="AF77" s="478" t="e">
        <f t="shared" si="44"/>
        <v>#DIV/0!</v>
      </c>
      <c r="AG77" s="483" t="s">
        <v>1005</v>
      </c>
      <c r="AH77" s="472">
        <v>0.25</v>
      </c>
      <c r="AI77" s="484" t="str">
        <f t="shared" si="34"/>
        <v>Formular los procesos y procedimientos en el marco del MIPG</v>
      </c>
      <c r="AJ77" s="473">
        <v>0</v>
      </c>
      <c r="AK77" s="622">
        <f>14/26</f>
        <v>0.53846153846153844</v>
      </c>
      <c r="AL77" s="616">
        <v>0</v>
      </c>
      <c r="AM77" s="478">
        <f t="shared" si="45"/>
        <v>2.1538461538461537</v>
      </c>
      <c r="AN77" s="478" t="e">
        <f t="shared" si="46"/>
        <v>#DIV/0!</v>
      </c>
      <c r="AO77" s="478">
        <f t="shared" si="47"/>
        <v>0.99996153846153846</v>
      </c>
      <c r="AP77" s="478" t="e">
        <f t="shared" si="48"/>
        <v>#DIV/0!</v>
      </c>
      <c r="AQ77" s="624" t="s">
        <v>1024</v>
      </c>
      <c r="AR77" s="472">
        <v>0.25</v>
      </c>
      <c r="AS77" s="484" t="str">
        <f t="shared" si="31"/>
        <v>Formular los procesos y procedimientos en el marco del MIPG</v>
      </c>
      <c r="AT77" s="473">
        <v>0</v>
      </c>
      <c r="AU77" s="479"/>
      <c r="AV77" s="479"/>
      <c r="AW77" s="478">
        <f t="shared" si="49"/>
        <v>0</v>
      </c>
      <c r="AX77" s="478" t="e">
        <f t="shared" si="50"/>
        <v>#DIV/0!</v>
      </c>
      <c r="AY77" s="478">
        <f t="shared" si="51"/>
        <v>0.99996153846153846</v>
      </c>
      <c r="AZ77" s="478" t="e">
        <f t="shared" si="52"/>
        <v>#DIV/0!</v>
      </c>
      <c r="BA77" s="478"/>
      <c r="BB77" s="472">
        <v>0.25</v>
      </c>
      <c r="BC77" s="484" t="str">
        <f t="shared" si="32"/>
        <v>Formular los procesos y procedimientos en el marco del MIPG</v>
      </c>
      <c r="BD77" s="473">
        <v>0</v>
      </c>
      <c r="BE77" s="479"/>
      <c r="BF77" s="479"/>
      <c r="BG77" s="472">
        <f t="shared" ref="BG77:BG143" si="64">+(BE77/BB77)</f>
        <v>0</v>
      </c>
      <c r="BH77" s="472" t="e">
        <f t="shared" ref="BH77:BH143" si="65">+(BF77/BD77)</f>
        <v>#DIV/0!</v>
      </c>
      <c r="BI77" s="472">
        <f t="shared" ref="BI77:BI143" si="66">+(AK77+AA77+AU77+BE77)/T77</f>
        <v>0.99996153846153846</v>
      </c>
      <c r="BJ77" s="472" t="e">
        <f t="shared" ref="BJ77:BJ143" si="67">+(AL77+AB77+AV77+BF77)/V77</f>
        <v>#DIV/0!</v>
      </c>
      <c r="BK77" s="472"/>
      <c r="BL77" s="533">
        <f t="shared" si="53"/>
        <v>1.8460000000000001</v>
      </c>
      <c r="BM77" s="533" t="str">
        <f t="shared" si="54"/>
        <v>No Prog ni Ejec</v>
      </c>
      <c r="BN77" s="533">
        <f t="shared" si="55"/>
        <v>2.1538461538461537</v>
      </c>
      <c r="BO77" s="533" t="str">
        <f t="shared" si="56"/>
        <v>No Prog ni Ejec</v>
      </c>
      <c r="BP77" s="533">
        <f t="shared" si="57"/>
        <v>0</v>
      </c>
      <c r="BQ77" s="533" t="str">
        <f t="shared" si="58"/>
        <v>No Prog ni Ejec</v>
      </c>
      <c r="BR77" s="533">
        <f t="shared" si="59"/>
        <v>0</v>
      </c>
      <c r="BS77" s="533" t="str">
        <f t="shared" si="60"/>
        <v>No Prog ni Ejec</v>
      </c>
      <c r="BT77" s="480">
        <f t="shared" si="61"/>
        <v>0.58333333333333337</v>
      </c>
      <c r="BU77" s="481" t="str">
        <f t="shared" si="36"/>
        <v>Formular los procesos y procedimientos en el marco del MIPG</v>
      </c>
      <c r="BV77" s="482">
        <f t="shared" si="40"/>
        <v>0</v>
      </c>
      <c r="BW77" s="479"/>
      <c r="BX77" s="479"/>
      <c r="BY77" s="479"/>
      <c r="BZ77" s="479"/>
      <c r="CA77" s="479"/>
      <c r="CB77" s="479"/>
      <c r="CC77" s="479"/>
    </row>
    <row r="78" spans="1:81" s="428" customFormat="1" ht="229.5" x14ac:dyDescent="0.25">
      <c r="A78" s="468">
        <v>11600</v>
      </c>
      <c r="B78" s="469" t="s">
        <v>6</v>
      </c>
      <c r="C78" s="470" t="s">
        <v>267</v>
      </c>
      <c r="D78" s="469" t="s">
        <v>256</v>
      </c>
      <c r="E78" s="470" t="s">
        <v>270</v>
      </c>
      <c r="F78" s="469" t="s">
        <v>127</v>
      </c>
      <c r="G78" s="471" t="s">
        <v>124</v>
      </c>
      <c r="H78" s="470">
        <v>4</v>
      </c>
      <c r="I78" s="470" t="s">
        <v>273</v>
      </c>
      <c r="J78" s="469" t="s">
        <v>128</v>
      </c>
      <c r="K78" s="635">
        <v>0</v>
      </c>
      <c r="L78" s="474">
        <v>1</v>
      </c>
      <c r="M78" s="469" t="s">
        <v>51</v>
      </c>
      <c r="N78" s="469" t="s">
        <v>68</v>
      </c>
      <c r="O78" s="469" t="s">
        <v>21</v>
      </c>
      <c r="P78" s="469" t="s">
        <v>36</v>
      </c>
      <c r="Q78" s="469" t="s">
        <v>75</v>
      </c>
      <c r="R78" s="469" t="s">
        <v>137</v>
      </c>
      <c r="S78" s="469" t="s">
        <v>98</v>
      </c>
      <c r="T78" s="470">
        <v>4</v>
      </c>
      <c r="U78" s="475" t="str">
        <f t="shared" si="62"/>
        <v>Remitir informes trimestrales de los indicadores formulados y las acciones de mejoras</v>
      </c>
      <c r="V78" s="476">
        <f t="shared" si="63"/>
        <v>0</v>
      </c>
      <c r="W78" s="477" t="s">
        <v>117</v>
      </c>
      <c r="X78" s="474">
        <v>0</v>
      </c>
      <c r="Y78" s="484" t="str">
        <f>+U78</f>
        <v>Remitir informes trimestrales de los indicadores formulados y las acciones de mejoras</v>
      </c>
      <c r="Z78" s="473">
        <v>0</v>
      </c>
      <c r="AA78" s="513">
        <v>0</v>
      </c>
      <c r="AB78" s="564">
        <v>0</v>
      </c>
      <c r="AC78" s="478" t="e">
        <f t="shared" si="41"/>
        <v>#DIV/0!</v>
      </c>
      <c r="AD78" s="478" t="e">
        <f t="shared" si="42"/>
        <v>#DIV/0!</v>
      </c>
      <c r="AE78" s="478">
        <f>+(AA78/T78)</f>
        <v>0</v>
      </c>
      <c r="AF78" s="478" t="e">
        <f t="shared" si="44"/>
        <v>#DIV/0!</v>
      </c>
      <c r="AG78" s="483" t="s">
        <v>899</v>
      </c>
      <c r="AH78" s="474">
        <v>0</v>
      </c>
      <c r="AI78" s="484" t="str">
        <f t="shared" si="34"/>
        <v>Remitir informes trimestrales de los indicadores formulados y las acciones de mejoras</v>
      </c>
      <c r="AJ78" s="473">
        <v>0</v>
      </c>
      <c r="AK78" s="623">
        <v>0</v>
      </c>
      <c r="AL78" s="616">
        <v>0</v>
      </c>
      <c r="AM78" s="478" t="e">
        <f t="shared" si="45"/>
        <v>#DIV/0!</v>
      </c>
      <c r="AN78" s="478" t="e">
        <f t="shared" si="46"/>
        <v>#DIV/0!</v>
      </c>
      <c r="AO78" s="478">
        <f t="shared" si="47"/>
        <v>0</v>
      </c>
      <c r="AP78" s="478" t="e">
        <f t="shared" si="48"/>
        <v>#DIV/0!</v>
      </c>
      <c r="AQ78" s="624" t="s">
        <v>1025</v>
      </c>
      <c r="AR78" s="474">
        <v>0</v>
      </c>
      <c r="AS78" s="484" t="str">
        <f t="shared" ref="AS78:AS110" si="68">+U78</f>
        <v>Remitir informes trimestrales de los indicadores formulados y las acciones de mejoras</v>
      </c>
      <c r="AT78" s="473">
        <v>0</v>
      </c>
      <c r="AU78" s="479"/>
      <c r="AV78" s="479"/>
      <c r="AW78" s="478" t="e">
        <f t="shared" si="49"/>
        <v>#DIV/0!</v>
      </c>
      <c r="AX78" s="478" t="e">
        <f t="shared" si="50"/>
        <v>#DIV/0!</v>
      </c>
      <c r="AY78" s="478">
        <f t="shared" si="51"/>
        <v>0</v>
      </c>
      <c r="AZ78" s="478" t="e">
        <f t="shared" si="52"/>
        <v>#DIV/0!</v>
      </c>
      <c r="BA78" s="478"/>
      <c r="BB78" s="474">
        <v>1</v>
      </c>
      <c r="BC78" s="484" t="str">
        <f t="shared" ref="BC78:BC119" si="69">+U78</f>
        <v>Remitir informes trimestrales de los indicadores formulados y las acciones de mejoras</v>
      </c>
      <c r="BD78" s="473">
        <v>0</v>
      </c>
      <c r="BE78" s="479"/>
      <c r="BF78" s="479"/>
      <c r="BG78" s="472">
        <f t="shared" si="64"/>
        <v>0</v>
      </c>
      <c r="BH78" s="472" t="e">
        <f t="shared" si="65"/>
        <v>#DIV/0!</v>
      </c>
      <c r="BI78" s="472">
        <f t="shared" si="66"/>
        <v>0</v>
      </c>
      <c r="BJ78" s="472" t="e">
        <f t="shared" si="67"/>
        <v>#DIV/0!</v>
      </c>
      <c r="BK78" s="472"/>
      <c r="BL78" s="533" t="str">
        <f t="shared" si="53"/>
        <v>No Prog ni Ejec</v>
      </c>
      <c r="BM78" s="533" t="str">
        <f t="shared" si="54"/>
        <v>No Prog ni Ejec</v>
      </c>
      <c r="BN78" s="533" t="str">
        <f t="shared" si="55"/>
        <v>No Prog ni Ejec</v>
      </c>
      <c r="BO78" s="533" t="str">
        <f t="shared" si="56"/>
        <v>No Prog ni Ejec</v>
      </c>
      <c r="BP78" s="533" t="str">
        <f t="shared" si="57"/>
        <v>No Prog ni Ejec</v>
      </c>
      <c r="BQ78" s="533" t="str">
        <f t="shared" si="58"/>
        <v>No Prog ni Ejec</v>
      </c>
      <c r="BR78" s="533">
        <f t="shared" si="59"/>
        <v>0</v>
      </c>
      <c r="BS78" s="533" t="str">
        <f t="shared" si="60"/>
        <v>No Prog ni Ejec</v>
      </c>
      <c r="BT78" s="507">
        <f t="shared" si="61"/>
        <v>0</v>
      </c>
      <c r="BU78" s="481" t="str">
        <f t="shared" si="36"/>
        <v>Remitir informes trimestrales de los indicadores formulados y las acciones de mejoras</v>
      </c>
      <c r="BV78" s="482">
        <f t="shared" si="40"/>
        <v>0</v>
      </c>
      <c r="BW78" s="479"/>
      <c r="BX78" s="479"/>
      <c r="BY78" s="479"/>
      <c r="BZ78" s="479"/>
      <c r="CA78" s="479"/>
      <c r="CB78" s="479"/>
      <c r="CC78" s="479"/>
    </row>
    <row r="79" spans="1:81" s="428" customFormat="1" ht="409.5" x14ac:dyDescent="0.25">
      <c r="A79" s="468">
        <v>11600</v>
      </c>
      <c r="B79" s="469" t="s">
        <v>6</v>
      </c>
      <c r="C79" s="470" t="s">
        <v>278</v>
      </c>
      <c r="D79" s="469" t="s">
        <v>147</v>
      </c>
      <c r="E79" s="470" t="s">
        <v>279</v>
      </c>
      <c r="F79" s="469" t="s">
        <v>277</v>
      </c>
      <c r="G79" s="698" t="s">
        <v>1088</v>
      </c>
      <c r="H79" s="699">
        <v>1</v>
      </c>
      <c r="I79" s="470" t="s">
        <v>282</v>
      </c>
      <c r="J79" s="700" t="s">
        <v>1087</v>
      </c>
      <c r="K79" s="635">
        <v>0</v>
      </c>
      <c r="L79" s="474">
        <v>1</v>
      </c>
      <c r="M79" s="469" t="s">
        <v>46</v>
      </c>
      <c r="N79" s="469" t="s">
        <v>73</v>
      </c>
      <c r="O79" s="469" t="s">
        <v>37</v>
      </c>
      <c r="P79" s="469" t="s">
        <v>40</v>
      </c>
      <c r="Q79" s="469" t="s">
        <v>228</v>
      </c>
      <c r="R79" s="457" t="s">
        <v>1089</v>
      </c>
      <c r="S79" s="469" t="s">
        <v>99</v>
      </c>
      <c r="T79" s="699">
        <v>1</v>
      </c>
      <c r="U79" s="701" t="str">
        <f t="shared" si="62"/>
        <v>Definición y aprobación de planes asociados a la DGTIC (Plan Estratégico de Tecnologías de la Información y las Comunicaciones PETI, Plan de Seguridad y Privacidad de la Información y Plan de Tratamiento de Riesgos de Seguridad y Privacidad de la Información)</v>
      </c>
      <c r="V79" s="476">
        <f t="shared" si="63"/>
        <v>0</v>
      </c>
      <c r="W79" s="477" t="s">
        <v>117</v>
      </c>
      <c r="X79" s="501">
        <v>0</v>
      </c>
      <c r="Y79" s="484" t="str">
        <f>+U79</f>
        <v>Definición y aprobación de planes asociados a la DGTIC (Plan Estratégico de Tecnologías de la Información y las Comunicaciones PETI, Plan de Seguridad y Privacidad de la Información y Plan de Tratamiento de Riesgos de Seguridad y Privacidad de la Información)</v>
      </c>
      <c r="Z79" s="473">
        <v>0</v>
      </c>
      <c r="AA79" s="513">
        <v>0</v>
      </c>
      <c r="AB79" s="564">
        <v>0</v>
      </c>
      <c r="AC79" s="478" t="e">
        <f t="shared" si="41"/>
        <v>#DIV/0!</v>
      </c>
      <c r="AD79" s="478" t="e">
        <f t="shared" si="42"/>
        <v>#DIV/0!</v>
      </c>
      <c r="AE79" s="478">
        <f t="shared" si="43"/>
        <v>0</v>
      </c>
      <c r="AF79" s="478" t="e">
        <f t="shared" si="44"/>
        <v>#DIV/0!</v>
      </c>
      <c r="AG79" s="483" t="s">
        <v>1006</v>
      </c>
      <c r="AH79" s="702">
        <v>0.16</v>
      </c>
      <c r="AI79" s="484" t="str">
        <f t="shared" ref="AI79:AI80" si="70">+U79</f>
        <v>Definición y aprobación de planes asociados a la DGTIC (Plan Estratégico de Tecnologías de la Información y las Comunicaciones PETI, Plan de Seguridad y Privacidad de la Información y Plan de Tratamiento de Riesgos de Seguridad y Privacidad de la Información)</v>
      </c>
      <c r="AJ79" s="473">
        <v>0</v>
      </c>
      <c r="AK79" s="703">
        <f>3/3*AH79</f>
        <v>0.16</v>
      </c>
      <c r="AL79" s="616">
        <v>0</v>
      </c>
      <c r="AM79" s="478">
        <f t="shared" si="45"/>
        <v>1</v>
      </c>
      <c r="AN79" s="478" t="e">
        <f t="shared" si="46"/>
        <v>#DIV/0!</v>
      </c>
      <c r="AO79" s="478">
        <f t="shared" si="47"/>
        <v>0.16</v>
      </c>
      <c r="AP79" s="478" t="e">
        <f t="shared" si="48"/>
        <v>#DIV/0!</v>
      </c>
      <c r="AQ79" s="624" t="s">
        <v>1026</v>
      </c>
      <c r="AR79" s="702">
        <v>0.32</v>
      </c>
      <c r="AS79" s="484" t="str">
        <f t="shared" si="68"/>
        <v>Definición y aprobación de planes asociados a la DGTIC (Plan Estratégico de Tecnologías de la Información y las Comunicaciones PETI, Plan de Seguridad y Privacidad de la Información y Plan de Tratamiento de Riesgos de Seguridad y Privacidad de la Información)</v>
      </c>
      <c r="AT79" s="473">
        <v>0</v>
      </c>
      <c r="AU79" s="479"/>
      <c r="AV79" s="479"/>
      <c r="AW79" s="478">
        <f t="shared" si="49"/>
        <v>0</v>
      </c>
      <c r="AX79" s="478" t="e">
        <f t="shared" si="50"/>
        <v>#DIV/0!</v>
      </c>
      <c r="AY79" s="478">
        <f t="shared" si="51"/>
        <v>0.16</v>
      </c>
      <c r="AZ79" s="478" t="e">
        <f t="shared" si="52"/>
        <v>#DIV/0!</v>
      </c>
      <c r="BA79" s="478"/>
      <c r="BB79" s="702">
        <v>0.52</v>
      </c>
      <c r="BC79" s="484" t="str">
        <f t="shared" si="69"/>
        <v>Definición y aprobación de planes asociados a la DGTIC (Plan Estratégico de Tecnologías de la Información y las Comunicaciones PETI, Plan de Seguridad y Privacidad de la Información y Plan de Tratamiento de Riesgos de Seguridad y Privacidad de la Información)</v>
      </c>
      <c r="BD79" s="473">
        <v>0</v>
      </c>
      <c r="BE79" s="479"/>
      <c r="BF79" s="479"/>
      <c r="BG79" s="472">
        <f t="shared" si="64"/>
        <v>0</v>
      </c>
      <c r="BH79" s="472" t="e">
        <f t="shared" si="65"/>
        <v>#DIV/0!</v>
      </c>
      <c r="BI79" s="472">
        <f t="shared" si="66"/>
        <v>0.16</v>
      </c>
      <c r="BJ79" s="472" t="e">
        <f t="shared" si="67"/>
        <v>#DIV/0!</v>
      </c>
      <c r="BK79" s="472"/>
      <c r="BL79" s="533" t="str">
        <f t="shared" si="53"/>
        <v>No Prog ni Ejec</v>
      </c>
      <c r="BM79" s="533" t="str">
        <f t="shared" si="54"/>
        <v>No Prog ni Ejec</v>
      </c>
      <c r="BN79" s="533">
        <f t="shared" si="55"/>
        <v>1</v>
      </c>
      <c r="BO79" s="533" t="str">
        <f t="shared" si="56"/>
        <v>No Prog ni Ejec</v>
      </c>
      <c r="BP79" s="533">
        <f t="shared" si="57"/>
        <v>0</v>
      </c>
      <c r="BQ79" s="533" t="str">
        <f t="shared" si="58"/>
        <v>No Prog ni Ejec</v>
      </c>
      <c r="BR79" s="533">
        <f t="shared" si="59"/>
        <v>0</v>
      </c>
      <c r="BS79" s="533" t="str">
        <f t="shared" si="60"/>
        <v>No Prog ni Ejec</v>
      </c>
      <c r="BT79" s="507">
        <f t="shared" si="61"/>
        <v>0.26666666666666666</v>
      </c>
      <c r="BU79" s="686" t="str">
        <f t="shared" si="36"/>
        <v>Definición y aprobación de planes asociados a la DGTIC (Plan Estratégico de Tecnologías de la Información y las Comunicaciones PETI, Plan de Seguridad y Privacidad de la Información y Plan de Tratamiento de Riesgos de Seguridad y Privacidad de la Información)</v>
      </c>
      <c r="BV79" s="482">
        <f t="shared" si="40"/>
        <v>0</v>
      </c>
      <c r="BW79" s="479"/>
      <c r="BX79" s="479"/>
      <c r="BY79" s="479"/>
      <c r="BZ79" s="479"/>
      <c r="CA79" s="479"/>
      <c r="CB79" s="479"/>
      <c r="CC79" s="479"/>
    </row>
    <row r="80" spans="1:81" s="428" customFormat="1" ht="409.5" x14ac:dyDescent="0.25">
      <c r="A80" s="468">
        <v>11600</v>
      </c>
      <c r="B80" s="469" t="s">
        <v>6</v>
      </c>
      <c r="C80" s="470" t="s">
        <v>278</v>
      </c>
      <c r="D80" s="469" t="s">
        <v>147</v>
      </c>
      <c r="E80" s="470" t="s">
        <v>513</v>
      </c>
      <c r="F80" s="469" t="s">
        <v>283</v>
      </c>
      <c r="G80" s="471" t="s">
        <v>123</v>
      </c>
      <c r="H80" s="472">
        <v>1</v>
      </c>
      <c r="I80" s="470" t="s">
        <v>514</v>
      </c>
      <c r="J80" s="469" t="s">
        <v>281</v>
      </c>
      <c r="K80" s="670">
        <f>5073602759+725656661.85+357741778-1240810616-40000000-30273600-10000000+40547278+60150000</f>
        <v>4936614260.8500004</v>
      </c>
      <c r="L80" s="632">
        <v>1</v>
      </c>
      <c r="M80" s="457" t="s">
        <v>46</v>
      </c>
      <c r="N80" s="457" t="s">
        <v>73</v>
      </c>
      <c r="O80" s="457" t="s">
        <v>37</v>
      </c>
      <c r="P80" s="457" t="s">
        <v>40</v>
      </c>
      <c r="Q80" s="457" t="s">
        <v>228</v>
      </c>
      <c r="R80" s="457" t="s">
        <v>634</v>
      </c>
      <c r="S80" s="457" t="s">
        <v>99</v>
      </c>
      <c r="T80" s="632">
        <v>1</v>
      </c>
      <c r="U80" s="619" t="str">
        <f t="shared" si="62"/>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80" s="633">
        <f t="shared" si="63"/>
        <v>4936614260.8500004</v>
      </c>
      <c r="W80" s="634" t="s">
        <v>114</v>
      </c>
      <c r="X80" s="694">
        <f>Z80/V80</f>
        <v>0.16488005584212931</v>
      </c>
      <c r="Y80" s="1374" t="str">
        <f>+U80</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Z80" s="635">
        <v>813949235</v>
      </c>
      <c r="AA80" s="628">
        <f>(AB80/Z80)*0.13</f>
        <v>9.7743684003216744E-2</v>
      </c>
      <c r="AB80" s="629">
        <v>611987667.85000002</v>
      </c>
      <c r="AC80" s="632">
        <f>+(AA80/X80)</f>
        <v>0.59281690259011777</v>
      </c>
      <c r="AD80" s="632">
        <f t="shared" si="42"/>
        <v>0.75187449233243642</v>
      </c>
      <c r="AE80" s="632">
        <f t="shared" si="43"/>
        <v>9.7743684003216744E-2</v>
      </c>
      <c r="AF80" s="632">
        <f t="shared" si="44"/>
        <v>0.12396910828204476</v>
      </c>
      <c r="AG80" s="636" t="s">
        <v>1158</v>
      </c>
      <c r="AH80" s="695">
        <v>0.2114</v>
      </c>
      <c r="AI80" s="484" t="str">
        <f t="shared" si="70"/>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80" s="696">
        <f>+V80*AH80</f>
        <v>1043600254.7436901</v>
      </c>
      <c r="AK80" s="626">
        <f>(AL80*AH80)/AJ80</f>
        <v>0.25583964659668107</v>
      </c>
      <c r="AL80" s="616">
        <f>(16999150+9728250+26727400+26727400+26727400) + (288565671.28+289168792.2+289168792.2+289168792.2)</f>
        <v>1262981647.8800001</v>
      </c>
      <c r="AM80" s="637">
        <f t="shared" ref="AM80:AM88" si="71">+IFERROR((AK80/AH80),"")</f>
        <v>1.2102159252444704</v>
      </c>
      <c r="AN80" s="637">
        <f t="shared" ref="AN80:AN88" si="72">+IFERROR((AL80/AJ80),"")</f>
        <v>1.2102159252444706</v>
      </c>
      <c r="AO80" s="637">
        <f>+IFERROR((AK80+AA80)/T80,"")</f>
        <v>0.35358333059989783</v>
      </c>
      <c r="AP80" s="637">
        <f t="shared" ref="AP80:AP88" si="73">+IFERROR((AL80+AB80)/V80,"")</f>
        <v>0.37980875487872584</v>
      </c>
      <c r="AQ80" s="624" t="s">
        <v>1090</v>
      </c>
      <c r="AR80" s="695">
        <v>0.35930000000000001</v>
      </c>
      <c r="AS80" s="484" t="str">
        <f t="shared" si="68"/>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T80" s="696">
        <f>+V80*AR80</f>
        <v>1773725503.9234052</v>
      </c>
      <c r="AU80" s="454"/>
      <c r="AV80" s="454"/>
      <c r="AW80" s="632">
        <f t="shared" si="49"/>
        <v>0</v>
      </c>
      <c r="AX80" s="632">
        <f t="shared" si="50"/>
        <v>0</v>
      </c>
      <c r="AY80" s="632">
        <f t="shared" si="51"/>
        <v>0.35358333059989783</v>
      </c>
      <c r="AZ80" s="632">
        <f t="shared" si="52"/>
        <v>0.37980875487872584</v>
      </c>
      <c r="BA80" s="632"/>
      <c r="BB80" s="697">
        <f>1-(AR80+AH80+X80)</f>
        <v>0.26441994415787073</v>
      </c>
      <c r="BC80" s="484" t="str">
        <f t="shared" si="69"/>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D80" s="696">
        <f>+K80*BB80</f>
        <v>1305339267.1829054</v>
      </c>
      <c r="BE80" s="454"/>
      <c r="BF80" s="454"/>
      <c r="BG80" s="631">
        <f t="shared" si="64"/>
        <v>0</v>
      </c>
      <c r="BH80" s="631">
        <f t="shared" si="65"/>
        <v>0</v>
      </c>
      <c r="BI80" s="631">
        <f t="shared" si="66"/>
        <v>0.35358333059989783</v>
      </c>
      <c r="BJ80" s="631">
        <f t="shared" si="67"/>
        <v>0.37980875487872584</v>
      </c>
      <c r="BK80" s="631"/>
      <c r="BL80" s="638">
        <f t="shared" si="53"/>
        <v>0.59281690259011777</v>
      </c>
      <c r="BM80" s="638">
        <f t="shared" si="54"/>
        <v>0.75187449233243642</v>
      </c>
      <c r="BN80" s="638">
        <f t="shared" si="55"/>
        <v>1.2102159252444704</v>
      </c>
      <c r="BO80" s="638">
        <f t="shared" si="56"/>
        <v>1.2102159252444706</v>
      </c>
      <c r="BP80" s="638">
        <f t="shared" si="57"/>
        <v>0</v>
      </c>
      <c r="BQ80" s="638">
        <f t="shared" si="58"/>
        <v>0</v>
      </c>
      <c r="BR80" s="638">
        <f t="shared" si="59"/>
        <v>0</v>
      </c>
      <c r="BS80" s="638">
        <f t="shared" si="60"/>
        <v>0</v>
      </c>
      <c r="BT80" s="639">
        <f t="shared" si="61"/>
        <v>0.496046722508796</v>
      </c>
      <c r="BU80" s="640" t="str">
        <f t="shared" ref="BU80:BU88" si="74">+U80</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V80" s="613">
        <f t="shared" si="40"/>
        <v>2448791324.3848252</v>
      </c>
      <c r="BW80" s="454"/>
      <c r="BX80" s="454"/>
      <c r="BY80" s="454"/>
      <c r="BZ80" s="454"/>
      <c r="CA80" s="454"/>
      <c r="CB80" s="454"/>
      <c r="CC80" s="454"/>
    </row>
    <row r="81" spans="1:81" s="428" customFormat="1" ht="409.5" x14ac:dyDescent="0.25">
      <c r="A81" s="468">
        <v>11600</v>
      </c>
      <c r="B81" s="469" t="s">
        <v>6</v>
      </c>
      <c r="C81" s="470" t="s">
        <v>278</v>
      </c>
      <c r="D81" s="469" t="s">
        <v>147</v>
      </c>
      <c r="E81" s="470" t="s">
        <v>516</v>
      </c>
      <c r="F81" s="469" t="s">
        <v>285</v>
      </c>
      <c r="G81" s="471" t="s">
        <v>123</v>
      </c>
      <c r="H81" s="472">
        <v>1</v>
      </c>
      <c r="I81" s="470" t="s">
        <v>517</v>
      </c>
      <c r="J81" s="469" t="s">
        <v>284</v>
      </c>
      <c r="K81" s="670">
        <f>1024732093-10150000-8009593+5652500</f>
        <v>1012225000</v>
      </c>
      <c r="L81" s="632">
        <v>1</v>
      </c>
      <c r="M81" s="457" t="s">
        <v>46</v>
      </c>
      <c r="N81" s="457" t="s">
        <v>73</v>
      </c>
      <c r="O81" s="457" t="s">
        <v>37</v>
      </c>
      <c r="P81" s="457" t="s">
        <v>40</v>
      </c>
      <c r="Q81" s="457" t="s">
        <v>228</v>
      </c>
      <c r="R81" s="457" t="s">
        <v>379</v>
      </c>
      <c r="S81" s="457" t="s">
        <v>99</v>
      </c>
      <c r="T81" s="632">
        <v>1</v>
      </c>
      <c r="U81" s="619" t="str">
        <f t="shared" si="62"/>
        <v>Gestionar y administrar los procesos de adquisición y actualización del licenciamiento, requerido para el desarrollo de las actividades de la Entidad.</v>
      </c>
      <c r="V81" s="633">
        <f t="shared" si="63"/>
        <v>1012225000</v>
      </c>
      <c r="W81" s="634" t="s">
        <v>114</v>
      </c>
      <c r="X81" s="631">
        <v>0</v>
      </c>
      <c r="Y81" s="1374" t="str">
        <f>+U81</f>
        <v>Gestionar y administrar los procesos de adquisición y actualización del licenciamiento, requerido para el desarrollo de las actividades de la Entidad.</v>
      </c>
      <c r="Z81" s="635">
        <v>0</v>
      </c>
      <c r="AA81" s="641">
        <v>0</v>
      </c>
      <c r="AB81" s="629">
        <v>0</v>
      </c>
      <c r="AC81" s="632" t="e">
        <f t="shared" ref="AC81:AC82" si="75">+(AA81/X81)</f>
        <v>#DIV/0!</v>
      </c>
      <c r="AD81" s="632" t="e">
        <f t="shared" si="42"/>
        <v>#DIV/0!</v>
      </c>
      <c r="AE81" s="632">
        <f t="shared" si="43"/>
        <v>0</v>
      </c>
      <c r="AF81" s="632">
        <f>+(AB81/V81)</f>
        <v>0</v>
      </c>
      <c r="AG81" s="636" t="s">
        <v>1029</v>
      </c>
      <c r="AH81" s="695">
        <v>0.3256349625824298</v>
      </c>
      <c r="AI81" s="1374" t="str">
        <f>+U81</f>
        <v>Gestionar y administrar los procesos de adquisición y actualización del licenciamiento, requerido para el desarrollo de las actividades de la Entidad.</v>
      </c>
      <c r="AJ81" s="696">
        <f>+V81*AH81</f>
        <v>329615850</v>
      </c>
      <c r="AK81" s="626">
        <f>(AL81*AH81)/AJ81</f>
        <v>0.28218769214354517</v>
      </c>
      <c r="AL81" s="616">
        <v>285637436.68000001</v>
      </c>
      <c r="AM81" s="632">
        <f t="shared" si="71"/>
        <v>0.86657676407248019</v>
      </c>
      <c r="AN81" s="632">
        <f t="shared" si="72"/>
        <v>0.86657676407248019</v>
      </c>
      <c r="AO81" s="632">
        <f t="shared" ref="AO81:AO88" si="76">+IFERROR((AK81+AA81)/T81,"")</f>
        <v>0.28218769214354517</v>
      </c>
      <c r="AP81" s="632">
        <f t="shared" si="73"/>
        <v>0.28218769214354517</v>
      </c>
      <c r="AQ81" s="625" t="s">
        <v>1027</v>
      </c>
      <c r="AR81" s="695">
        <v>0.51151183778310161</v>
      </c>
      <c r="AS81" s="484" t="str">
        <f t="shared" si="68"/>
        <v>Gestionar y administrar los procesos de adquisición y actualización del licenciamiento, requerido para el desarrollo de las actividades de la Entidad.</v>
      </c>
      <c r="AT81" s="696">
        <f>+V81*AR81</f>
        <v>517765070</v>
      </c>
      <c r="AU81" s="454"/>
      <c r="AV81" s="454"/>
      <c r="AW81" s="632">
        <f t="shared" si="49"/>
        <v>0</v>
      </c>
      <c r="AX81" s="632">
        <f t="shared" si="50"/>
        <v>0</v>
      </c>
      <c r="AY81" s="632">
        <f t="shared" si="51"/>
        <v>0.28218769214354517</v>
      </c>
      <c r="AZ81" s="632">
        <f t="shared" si="52"/>
        <v>0.28218769214354517</v>
      </c>
      <c r="BA81" s="632"/>
      <c r="BB81" s="695">
        <v>0.16285319963446862</v>
      </c>
      <c r="BC81" s="484" t="str">
        <f t="shared" si="69"/>
        <v>Gestionar y administrar los procesos de adquisición y actualización del licenciamiento, requerido para el desarrollo de las actividades de la Entidad.</v>
      </c>
      <c r="BD81" s="696">
        <f>+V81*BB81</f>
        <v>164844080</v>
      </c>
      <c r="BE81" s="454"/>
      <c r="BF81" s="454"/>
      <c r="BG81" s="631">
        <f t="shared" si="64"/>
        <v>0</v>
      </c>
      <c r="BH81" s="631">
        <f t="shared" si="65"/>
        <v>0</v>
      </c>
      <c r="BI81" s="631">
        <f t="shared" si="66"/>
        <v>0.28218769214354517</v>
      </c>
      <c r="BJ81" s="631">
        <f t="shared" si="67"/>
        <v>0.28218769214354517</v>
      </c>
      <c r="BK81" s="631"/>
      <c r="BL81" s="642" t="str">
        <f t="shared" si="53"/>
        <v>No Prog ni Ejec</v>
      </c>
      <c r="BM81" s="642" t="str">
        <f t="shared" si="54"/>
        <v>No Prog ni Ejec</v>
      </c>
      <c r="BN81" s="642">
        <f t="shared" si="55"/>
        <v>0.86657676407248019</v>
      </c>
      <c r="BO81" s="642">
        <f t="shared" si="56"/>
        <v>0.86657676407248019</v>
      </c>
      <c r="BP81" s="642">
        <f t="shared" si="57"/>
        <v>0</v>
      </c>
      <c r="BQ81" s="642">
        <f t="shared" si="58"/>
        <v>0</v>
      </c>
      <c r="BR81" s="642">
        <f t="shared" si="59"/>
        <v>0</v>
      </c>
      <c r="BS81" s="642">
        <f t="shared" si="60"/>
        <v>0</v>
      </c>
      <c r="BT81" s="639">
        <f t="shared" si="61"/>
        <v>0.49613890851013032</v>
      </c>
      <c r="BU81" s="640" t="str">
        <f t="shared" si="74"/>
        <v>Gestionar y administrar los procesos de adquisición y actualización del licenciamiento, requerido para el desarrollo de las actividades de la Entidad.</v>
      </c>
      <c r="BV81" s="613">
        <f t="shared" si="40"/>
        <v>502204206.66666663</v>
      </c>
      <c r="BW81" s="454"/>
      <c r="BX81" s="454"/>
      <c r="BY81" s="454"/>
      <c r="BZ81" s="454"/>
      <c r="CA81" s="454"/>
      <c r="CB81" s="454"/>
      <c r="CC81" s="454"/>
    </row>
    <row r="82" spans="1:81" s="428" customFormat="1" ht="51" x14ac:dyDescent="0.25">
      <c r="A82" s="468">
        <v>11600</v>
      </c>
      <c r="B82" s="469" t="s">
        <v>6</v>
      </c>
      <c r="C82" s="470" t="s">
        <v>278</v>
      </c>
      <c r="D82" s="469" t="s">
        <v>147</v>
      </c>
      <c r="E82" s="470" t="s">
        <v>518</v>
      </c>
      <c r="F82" s="469" t="s">
        <v>287</v>
      </c>
      <c r="G82" s="471" t="s">
        <v>123</v>
      </c>
      <c r="H82" s="472">
        <v>1</v>
      </c>
      <c r="I82" s="470" t="s">
        <v>519</v>
      </c>
      <c r="J82" s="469" t="s">
        <v>287</v>
      </c>
      <c r="K82" s="688">
        <v>180000000</v>
      </c>
      <c r="L82" s="632">
        <v>1</v>
      </c>
      <c r="M82" s="457" t="s">
        <v>46</v>
      </c>
      <c r="N82" s="457" t="s">
        <v>73</v>
      </c>
      <c r="O82" s="457" t="s">
        <v>37</v>
      </c>
      <c r="P82" s="457" t="s">
        <v>40</v>
      </c>
      <c r="Q82" s="457" t="s">
        <v>228</v>
      </c>
      <c r="R82" s="457" t="s">
        <v>634</v>
      </c>
      <c r="S82" s="457" t="s">
        <v>99</v>
      </c>
      <c r="T82" s="632">
        <v>1</v>
      </c>
      <c r="U82" s="619" t="str">
        <f t="shared" si="62"/>
        <v>Adquisición de bienes y/o servicios para la seguridad de la información</v>
      </c>
      <c r="V82" s="633">
        <f t="shared" si="63"/>
        <v>180000000</v>
      </c>
      <c r="W82" s="634" t="s">
        <v>114</v>
      </c>
      <c r="X82" s="631">
        <v>0</v>
      </c>
      <c r="Y82" s="1374" t="str">
        <f>+U82</f>
        <v>Adquisición de bienes y/o servicios para la seguridad de la información</v>
      </c>
      <c r="Z82" s="635">
        <v>0</v>
      </c>
      <c r="AA82" s="641">
        <v>0</v>
      </c>
      <c r="AB82" s="629">
        <v>0</v>
      </c>
      <c r="AC82" s="632" t="e">
        <f t="shared" si="75"/>
        <v>#DIV/0!</v>
      </c>
      <c r="AD82" s="632" t="e">
        <f t="shared" si="42"/>
        <v>#DIV/0!</v>
      </c>
      <c r="AE82" s="632">
        <f t="shared" si="43"/>
        <v>0</v>
      </c>
      <c r="AF82" s="632">
        <f t="shared" ref="AF82:AF88" si="77">+(AB82/V82)</f>
        <v>0</v>
      </c>
      <c r="AG82" s="636" t="s">
        <v>1030</v>
      </c>
      <c r="AH82" s="631">
        <v>0</v>
      </c>
      <c r="AI82" s="1374" t="str">
        <f>+U82</f>
        <v>Adquisición de bienes y/o servicios para la seguridad de la información</v>
      </c>
      <c r="AJ82" s="635">
        <v>0</v>
      </c>
      <c r="AK82" s="612">
        <v>0</v>
      </c>
      <c r="AL82" s="616">
        <v>0</v>
      </c>
      <c r="AM82" s="632" t="str">
        <f t="shared" si="71"/>
        <v/>
      </c>
      <c r="AN82" s="632" t="str">
        <f t="shared" si="72"/>
        <v/>
      </c>
      <c r="AO82" s="632">
        <f t="shared" si="76"/>
        <v>0</v>
      </c>
      <c r="AP82" s="632">
        <f t="shared" si="73"/>
        <v>0</v>
      </c>
      <c r="AQ82" s="624" t="s">
        <v>1028</v>
      </c>
      <c r="AR82" s="631">
        <v>0.6</v>
      </c>
      <c r="AS82" s="484" t="str">
        <f t="shared" si="68"/>
        <v>Adquisición de bienes y/o servicios para la seguridad de la información</v>
      </c>
      <c r="AT82" s="635">
        <f>+V82*AR82</f>
        <v>108000000</v>
      </c>
      <c r="AU82" s="454"/>
      <c r="AV82" s="454"/>
      <c r="AW82" s="632">
        <f t="shared" si="49"/>
        <v>0</v>
      </c>
      <c r="AX82" s="632">
        <f t="shared" si="50"/>
        <v>0</v>
      </c>
      <c r="AY82" s="632">
        <f t="shared" si="51"/>
        <v>0</v>
      </c>
      <c r="AZ82" s="632">
        <f t="shared" si="52"/>
        <v>0</v>
      </c>
      <c r="BA82" s="632"/>
      <c r="BB82" s="631">
        <v>0.4</v>
      </c>
      <c r="BC82" s="484" t="str">
        <f t="shared" si="69"/>
        <v>Adquisición de bienes y/o servicios para la seguridad de la información</v>
      </c>
      <c r="BD82" s="635">
        <f>+V82*BB82</f>
        <v>72000000</v>
      </c>
      <c r="BE82" s="454"/>
      <c r="BF82" s="454"/>
      <c r="BG82" s="631">
        <f t="shared" si="64"/>
        <v>0</v>
      </c>
      <c r="BH82" s="631">
        <f t="shared" si="65"/>
        <v>0</v>
      </c>
      <c r="BI82" s="631">
        <f t="shared" si="66"/>
        <v>0</v>
      </c>
      <c r="BJ82" s="631">
        <f t="shared" si="67"/>
        <v>0</v>
      </c>
      <c r="BK82" s="631"/>
      <c r="BL82" s="638" t="str">
        <f t="shared" si="53"/>
        <v>No Prog ni Ejec</v>
      </c>
      <c r="BM82" s="638" t="str">
        <f t="shared" si="54"/>
        <v>No Prog ni Ejec</v>
      </c>
      <c r="BN82" s="638" t="str">
        <f t="shared" si="55"/>
        <v>No Prog ni Ejec</v>
      </c>
      <c r="BO82" s="638" t="str">
        <f t="shared" si="56"/>
        <v>No Prog ni Ejec</v>
      </c>
      <c r="BP82" s="638">
        <f t="shared" si="57"/>
        <v>0</v>
      </c>
      <c r="BQ82" s="638">
        <f t="shared" si="58"/>
        <v>0</v>
      </c>
      <c r="BR82" s="638">
        <f t="shared" si="59"/>
        <v>0</v>
      </c>
      <c r="BS82" s="638">
        <f t="shared" si="60"/>
        <v>0</v>
      </c>
      <c r="BT82" s="639">
        <f t="shared" si="61"/>
        <v>0.19999999999999998</v>
      </c>
      <c r="BU82" s="640" t="str">
        <f t="shared" si="74"/>
        <v>Adquisición de bienes y/o servicios para la seguridad de la información</v>
      </c>
      <c r="BV82" s="613">
        <f t="shared" si="40"/>
        <v>36000000</v>
      </c>
      <c r="BW82" s="454"/>
      <c r="BX82" s="454"/>
      <c r="BY82" s="454"/>
      <c r="BZ82" s="454"/>
      <c r="CA82" s="454"/>
      <c r="CB82" s="454"/>
      <c r="CC82" s="454"/>
    </row>
    <row r="83" spans="1:81" s="428" customFormat="1" ht="409.5" x14ac:dyDescent="0.25">
      <c r="A83" s="468">
        <v>11600</v>
      </c>
      <c r="B83" s="469" t="s">
        <v>6</v>
      </c>
      <c r="C83" s="470" t="s">
        <v>278</v>
      </c>
      <c r="D83" s="469" t="s">
        <v>147</v>
      </c>
      <c r="E83" s="470" t="s">
        <v>520</v>
      </c>
      <c r="F83" s="469" t="s">
        <v>562</v>
      </c>
      <c r="G83" s="471" t="s">
        <v>123</v>
      </c>
      <c r="H83" s="472">
        <v>1</v>
      </c>
      <c r="I83" s="470" t="s">
        <v>521</v>
      </c>
      <c r="J83" s="469" t="s">
        <v>635</v>
      </c>
      <c r="K83" s="670">
        <f>815594000+52838618.28+30000000-420000000</f>
        <v>478432618.27999997</v>
      </c>
      <c r="L83" s="632">
        <v>1</v>
      </c>
      <c r="M83" s="457" t="s">
        <v>46</v>
      </c>
      <c r="N83" s="457" t="s">
        <v>73</v>
      </c>
      <c r="O83" s="457" t="s">
        <v>37</v>
      </c>
      <c r="P83" s="457" t="s">
        <v>40</v>
      </c>
      <c r="Q83" s="457" t="s">
        <v>228</v>
      </c>
      <c r="R83" s="457" t="s">
        <v>636</v>
      </c>
      <c r="S83" s="457" t="s">
        <v>99</v>
      </c>
      <c r="T83" s="632">
        <v>1</v>
      </c>
      <c r="U83" s="619" t="str">
        <f t="shared" si="62"/>
        <v>Implementación de estrategias, instrumentos y herramientas</v>
      </c>
      <c r="V83" s="633">
        <f t="shared" si="63"/>
        <v>478432618.27999997</v>
      </c>
      <c r="W83" s="634" t="s">
        <v>114</v>
      </c>
      <c r="X83" s="695">
        <f>+Z83/V83</f>
        <v>0.12706132683458224</v>
      </c>
      <c r="Y83" s="1374" t="str">
        <f>+U83</f>
        <v>Implementación de estrategias, instrumentos y herramientas</v>
      </c>
      <c r="Z83" s="704">
        <v>60790283.279600002</v>
      </c>
      <c r="AA83" s="643">
        <f>(AB83/Z83)*0.07</f>
        <v>5.434802770706449E-2</v>
      </c>
      <c r="AB83" s="629">
        <f>7880000+3332000+19992000+15993600</f>
        <v>47197600</v>
      </c>
      <c r="AC83" s="632">
        <f>+(AA83/X83)</f>
        <v>0.42773067983005358</v>
      </c>
      <c r="AD83" s="632">
        <f t="shared" si="42"/>
        <v>0.77640039581520692</v>
      </c>
      <c r="AE83" s="632">
        <f t="shared" si="43"/>
        <v>5.434802770706449E-2</v>
      </c>
      <c r="AF83" s="632">
        <f t="shared" si="77"/>
        <v>9.8650464447175026E-2</v>
      </c>
      <c r="AG83" s="644" t="s">
        <v>1031</v>
      </c>
      <c r="AH83" s="695">
        <v>0.22919999999999999</v>
      </c>
      <c r="AI83" s="1374" t="str">
        <f>+U83</f>
        <v>Implementación de estrategias, instrumentos y herramientas</v>
      </c>
      <c r="AJ83" s="696">
        <f>+AH83*V83</f>
        <v>109656756.10977599</v>
      </c>
      <c r="AK83" s="645">
        <f>(2/3)*AH83</f>
        <v>0.15279999999999999</v>
      </c>
      <c r="AL83" s="616">
        <f>19992000+19992000+19992000</f>
        <v>59976000</v>
      </c>
      <c r="AM83" s="632">
        <f t="shared" si="71"/>
        <v>0.66666666666666663</v>
      </c>
      <c r="AN83" s="632">
        <f t="shared" si="72"/>
        <v>0.54694304416554862</v>
      </c>
      <c r="AO83" s="632">
        <f t="shared" si="76"/>
        <v>0.20714802770706447</v>
      </c>
      <c r="AP83" s="632">
        <f t="shared" si="73"/>
        <v>0.22400981016991878</v>
      </c>
      <c r="AQ83" s="624" t="s">
        <v>1032</v>
      </c>
      <c r="AR83" s="695">
        <v>0.3417</v>
      </c>
      <c r="AS83" s="484" t="str">
        <f t="shared" si="68"/>
        <v>Implementación de estrategias, instrumentos y herramientas</v>
      </c>
      <c r="AT83" s="696">
        <f>+AR83*V83</f>
        <v>163480425.66627598</v>
      </c>
      <c r="AU83" s="646"/>
      <c r="AV83" s="454"/>
      <c r="AW83" s="632">
        <f t="shared" si="49"/>
        <v>0</v>
      </c>
      <c r="AX83" s="632">
        <f t="shared" si="50"/>
        <v>0</v>
      </c>
      <c r="AY83" s="632">
        <f t="shared" si="51"/>
        <v>0.20714802770706447</v>
      </c>
      <c r="AZ83" s="632">
        <f t="shared" si="52"/>
        <v>0.22400981016991878</v>
      </c>
      <c r="BA83" s="632"/>
      <c r="BB83" s="697">
        <f>1-(AR83+AH83+X83)</f>
        <v>0.30203867316541777</v>
      </c>
      <c r="BC83" s="484" t="str">
        <f t="shared" si="69"/>
        <v>Implementación de estrategias, instrumentos y herramientas</v>
      </c>
      <c r="BD83" s="696">
        <f>+BB83*V83</f>
        <v>144505153.22434798</v>
      </c>
      <c r="BE83" s="705"/>
      <c r="BF83" s="705"/>
      <c r="BG83" s="699">
        <f t="shared" si="64"/>
        <v>0</v>
      </c>
      <c r="BH83" s="631">
        <f t="shared" si="65"/>
        <v>0</v>
      </c>
      <c r="BI83" s="631">
        <f t="shared" si="66"/>
        <v>0.20714802770706447</v>
      </c>
      <c r="BJ83" s="631">
        <f t="shared" si="67"/>
        <v>0.22400981016991878</v>
      </c>
      <c r="BK83" s="631"/>
      <c r="BL83" s="638">
        <f t="shared" si="53"/>
        <v>0.42773067983005358</v>
      </c>
      <c r="BM83" s="638">
        <f t="shared" si="54"/>
        <v>0.77640039581520692</v>
      </c>
      <c r="BN83" s="638">
        <f t="shared" si="55"/>
        <v>0.66666666666666663</v>
      </c>
      <c r="BO83" s="638">
        <f t="shared" si="56"/>
        <v>0.54694304416554862</v>
      </c>
      <c r="BP83" s="638">
        <f t="shared" si="57"/>
        <v>0</v>
      </c>
      <c r="BQ83" s="638">
        <f t="shared" si="58"/>
        <v>0</v>
      </c>
      <c r="BR83" s="638">
        <f t="shared" si="59"/>
        <v>0</v>
      </c>
      <c r="BS83" s="638">
        <f t="shared" si="60"/>
        <v>0</v>
      </c>
      <c r="BT83" s="639">
        <f t="shared" si="61"/>
        <v>0.47016132683458223</v>
      </c>
      <c r="BU83" s="640" t="str">
        <f t="shared" si="74"/>
        <v>Implementación de estrategias, instrumentos y herramientas</v>
      </c>
      <c r="BV83" s="613">
        <f t="shared" si="40"/>
        <v>224940514.61146799</v>
      </c>
      <c r="BW83" s="454"/>
      <c r="BX83" s="454"/>
      <c r="BY83" s="454"/>
      <c r="BZ83" s="454"/>
      <c r="CA83" s="454"/>
      <c r="CB83" s="454"/>
      <c r="CC83" s="454"/>
    </row>
    <row r="84" spans="1:81" s="428" customFormat="1" ht="165.75" x14ac:dyDescent="0.25">
      <c r="A84" s="468">
        <v>11600</v>
      </c>
      <c r="B84" s="469" t="s">
        <v>6</v>
      </c>
      <c r="C84" s="470" t="s">
        <v>278</v>
      </c>
      <c r="D84" s="469" t="s">
        <v>147</v>
      </c>
      <c r="E84" s="470" t="s">
        <v>515</v>
      </c>
      <c r="F84" s="469" t="s">
        <v>637</v>
      </c>
      <c r="G84" s="471" t="s">
        <v>123</v>
      </c>
      <c r="H84" s="472">
        <v>1</v>
      </c>
      <c r="I84" s="470" t="s">
        <v>522</v>
      </c>
      <c r="J84" s="469" t="s">
        <v>637</v>
      </c>
      <c r="K84" s="688">
        <v>816000000</v>
      </c>
      <c r="L84" s="632">
        <v>1</v>
      </c>
      <c r="M84" s="457" t="s">
        <v>46</v>
      </c>
      <c r="N84" s="457" t="s">
        <v>73</v>
      </c>
      <c r="O84" s="457" t="s">
        <v>37</v>
      </c>
      <c r="P84" s="457" t="s">
        <v>40</v>
      </c>
      <c r="Q84" s="457" t="s">
        <v>228</v>
      </c>
      <c r="R84" s="457" t="s">
        <v>760</v>
      </c>
      <c r="S84" s="457" t="s">
        <v>99</v>
      </c>
      <c r="T84" s="632">
        <v>1</v>
      </c>
      <c r="U84" s="619" t="str">
        <f t="shared" si="62"/>
        <v>Desarrollo de nuevos Sistemas de información</v>
      </c>
      <c r="V84" s="633">
        <f t="shared" si="63"/>
        <v>816000000</v>
      </c>
      <c r="W84" s="634" t="s">
        <v>114</v>
      </c>
      <c r="X84" s="631">
        <v>0</v>
      </c>
      <c r="Y84" s="1374" t="str">
        <f>+U84</f>
        <v>Desarrollo de nuevos Sistemas de información</v>
      </c>
      <c r="Z84" s="635">
        <v>0</v>
      </c>
      <c r="AA84" s="641">
        <v>0</v>
      </c>
      <c r="AB84" s="629">
        <v>0</v>
      </c>
      <c r="AC84" s="632" t="e">
        <f t="shared" ref="AC84:AC88" si="78">+(AA84/X84)</f>
        <v>#DIV/0!</v>
      </c>
      <c r="AD84" s="632" t="e">
        <f t="shared" si="42"/>
        <v>#DIV/0!</v>
      </c>
      <c r="AE84" s="632">
        <f t="shared" si="43"/>
        <v>0</v>
      </c>
      <c r="AF84" s="632">
        <f t="shared" si="77"/>
        <v>0</v>
      </c>
      <c r="AG84" s="636" t="s">
        <v>1033</v>
      </c>
      <c r="AH84" s="631">
        <v>0.17</v>
      </c>
      <c r="AI84" s="1374" t="str">
        <f>+U84</f>
        <v>Desarrollo de nuevos Sistemas de información</v>
      </c>
      <c r="AJ84" s="635">
        <f>+V84*AH84</f>
        <v>138720000</v>
      </c>
      <c r="AK84" s="645">
        <v>0</v>
      </c>
      <c r="AL84" s="616">
        <v>0</v>
      </c>
      <c r="AM84" s="632">
        <f t="shared" si="71"/>
        <v>0</v>
      </c>
      <c r="AN84" s="632">
        <f t="shared" si="72"/>
        <v>0</v>
      </c>
      <c r="AO84" s="632">
        <f t="shared" si="76"/>
        <v>0</v>
      </c>
      <c r="AP84" s="632">
        <f t="shared" si="73"/>
        <v>0</v>
      </c>
      <c r="AQ84" s="624" t="s">
        <v>1034</v>
      </c>
      <c r="AR84" s="631">
        <v>0.49</v>
      </c>
      <c r="AS84" s="484" t="str">
        <f t="shared" si="68"/>
        <v>Desarrollo de nuevos Sistemas de información</v>
      </c>
      <c r="AT84" s="635">
        <f>+V84*AR84</f>
        <v>399840000</v>
      </c>
      <c r="AU84" s="454"/>
      <c r="AV84" s="454"/>
      <c r="AW84" s="632">
        <f t="shared" si="49"/>
        <v>0</v>
      </c>
      <c r="AX84" s="632">
        <f t="shared" si="50"/>
        <v>0</v>
      </c>
      <c r="AY84" s="632">
        <f t="shared" si="51"/>
        <v>0</v>
      </c>
      <c r="AZ84" s="632">
        <f t="shared" si="52"/>
        <v>0</v>
      </c>
      <c r="BA84" s="632"/>
      <c r="BB84" s="631">
        <v>0.34</v>
      </c>
      <c r="BC84" s="484" t="str">
        <f t="shared" si="69"/>
        <v>Desarrollo de nuevos Sistemas de información</v>
      </c>
      <c r="BD84" s="635">
        <f>+V84*BB84</f>
        <v>277440000</v>
      </c>
      <c r="BE84" s="454"/>
      <c r="BF84" s="454"/>
      <c r="BG84" s="631">
        <f t="shared" si="64"/>
        <v>0</v>
      </c>
      <c r="BH84" s="631">
        <f t="shared" si="65"/>
        <v>0</v>
      </c>
      <c r="BI84" s="631">
        <f t="shared" si="66"/>
        <v>0</v>
      </c>
      <c r="BJ84" s="631">
        <f t="shared" si="67"/>
        <v>0</v>
      </c>
      <c r="BK84" s="631"/>
      <c r="BL84" s="647" t="str">
        <f t="shared" si="53"/>
        <v>No Prog ni Ejec</v>
      </c>
      <c r="BM84" s="647" t="str">
        <f t="shared" si="54"/>
        <v>No Prog ni Ejec</v>
      </c>
      <c r="BN84" s="647">
        <f t="shared" si="55"/>
        <v>0</v>
      </c>
      <c r="BO84" s="647">
        <f t="shared" si="56"/>
        <v>0</v>
      </c>
      <c r="BP84" s="647">
        <f t="shared" si="57"/>
        <v>0</v>
      </c>
      <c r="BQ84" s="647">
        <f t="shared" si="58"/>
        <v>0</v>
      </c>
      <c r="BR84" s="647">
        <f t="shared" si="59"/>
        <v>0</v>
      </c>
      <c r="BS84" s="647">
        <f t="shared" si="60"/>
        <v>0</v>
      </c>
      <c r="BT84" s="639">
        <f t="shared" si="61"/>
        <v>0.33333333333333337</v>
      </c>
      <c r="BU84" s="640" t="str">
        <f t="shared" si="74"/>
        <v>Desarrollo de nuevos Sistemas de información</v>
      </c>
      <c r="BV84" s="613">
        <f t="shared" si="40"/>
        <v>272000000</v>
      </c>
      <c r="BW84" s="454"/>
      <c r="BX84" s="454"/>
      <c r="BY84" s="454"/>
      <c r="BZ84" s="454"/>
      <c r="CA84" s="454"/>
      <c r="CB84" s="454"/>
      <c r="CC84" s="454"/>
    </row>
    <row r="85" spans="1:81" s="428" customFormat="1" ht="409.5" x14ac:dyDescent="0.25">
      <c r="A85" s="468">
        <v>11600</v>
      </c>
      <c r="B85" s="469" t="s">
        <v>6</v>
      </c>
      <c r="C85" s="470" t="s">
        <v>278</v>
      </c>
      <c r="D85" s="469" t="s">
        <v>147</v>
      </c>
      <c r="E85" s="470" t="s">
        <v>523</v>
      </c>
      <c r="F85" s="469" t="s">
        <v>286</v>
      </c>
      <c r="G85" s="471" t="s">
        <v>123</v>
      </c>
      <c r="H85" s="472">
        <v>1</v>
      </c>
      <c r="I85" s="470" t="s">
        <v>524</v>
      </c>
      <c r="J85" s="469" t="s">
        <v>286</v>
      </c>
      <c r="K85" s="688">
        <v>48960000</v>
      </c>
      <c r="L85" s="632">
        <v>1</v>
      </c>
      <c r="M85" s="457" t="s">
        <v>46</v>
      </c>
      <c r="N85" s="457" t="s">
        <v>73</v>
      </c>
      <c r="O85" s="457" t="s">
        <v>37</v>
      </c>
      <c r="P85" s="457" t="s">
        <v>40</v>
      </c>
      <c r="Q85" s="457" t="s">
        <v>228</v>
      </c>
      <c r="R85" s="457" t="s">
        <v>379</v>
      </c>
      <c r="S85" s="457" t="s">
        <v>99</v>
      </c>
      <c r="T85" s="632">
        <v>1</v>
      </c>
      <c r="U85" s="619" t="str">
        <f t="shared" si="62"/>
        <v>Brindar Soporte a usuario interno</v>
      </c>
      <c r="V85" s="633">
        <f t="shared" si="63"/>
        <v>48960000</v>
      </c>
      <c r="W85" s="634" t="s">
        <v>114</v>
      </c>
      <c r="X85" s="631">
        <v>0.25</v>
      </c>
      <c r="Y85" s="640" t="str">
        <f>+U85</f>
        <v>Brindar Soporte a usuario interno</v>
      </c>
      <c r="Z85" s="635">
        <v>12240000</v>
      </c>
      <c r="AA85" s="643">
        <f>(AB85/Z85)/4</f>
        <v>0.22222222222222221</v>
      </c>
      <c r="AB85" s="629">
        <f>(4080000+2720000+4080000)</f>
        <v>10880000</v>
      </c>
      <c r="AC85" s="632">
        <f t="shared" si="78"/>
        <v>0.88888888888888884</v>
      </c>
      <c r="AD85" s="632">
        <f t="shared" si="42"/>
        <v>0.88888888888888884</v>
      </c>
      <c r="AE85" s="632">
        <f t="shared" si="43"/>
        <v>0.22222222222222221</v>
      </c>
      <c r="AF85" s="632">
        <f t="shared" si="77"/>
        <v>0.22222222222222221</v>
      </c>
      <c r="AG85" s="636" t="s">
        <v>1159</v>
      </c>
      <c r="AH85" s="631">
        <v>0.25</v>
      </c>
      <c r="AI85" s="640" t="str">
        <f>+U85</f>
        <v>Brindar Soporte a usuario interno</v>
      </c>
      <c r="AJ85" s="635">
        <v>12240000</v>
      </c>
      <c r="AK85" s="645">
        <f>(AL85*AH85)/AJ85</f>
        <v>0.25</v>
      </c>
      <c r="AL85" s="616">
        <v>12240000</v>
      </c>
      <c r="AM85" s="632">
        <f t="shared" si="71"/>
        <v>1</v>
      </c>
      <c r="AN85" s="632">
        <f t="shared" si="72"/>
        <v>1</v>
      </c>
      <c r="AO85" s="632">
        <f t="shared" si="76"/>
        <v>0.47222222222222221</v>
      </c>
      <c r="AP85" s="632">
        <f t="shared" si="73"/>
        <v>0.47222222222222221</v>
      </c>
      <c r="AQ85" s="624" t="s">
        <v>1035</v>
      </c>
      <c r="AR85" s="631">
        <v>0.25</v>
      </c>
      <c r="AS85" s="484" t="str">
        <f t="shared" si="68"/>
        <v>Brindar Soporte a usuario interno</v>
      </c>
      <c r="AT85" s="635">
        <v>12240000</v>
      </c>
      <c r="AU85" s="454"/>
      <c r="AV85" s="454"/>
      <c r="AW85" s="632">
        <f t="shared" si="49"/>
        <v>0</v>
      </c>
      <c r="AX85" s="632">
        <f t="shared" si="50"/>
        <v>0</v>
      </c>
      <c r="AY85" s="632">
        <f t="shared" si="51"/>
        <v>0.47222222222222221</v>
      </c>
      <c r="AZ85" s="632">
        <f t="shared" si="52"/>
        <v>0.47222222222222221</v>
      </c>
      <c r="BA85" s="632"/>
      <c r="BB85" s="631">
        <v>0.25</v>
      </c>
      <c r="BC85" s="484" t="str">
        <f t="shared" si="69"/>
        <v>Brindar Soporte a usuario interno</v>
      </c>
      <c r="BD85" s="635">
        <v>12240000</v>
      </c>
      <c r="BE85" s="454"/>
      <c r="BF85" s="454"/>
      <c r="BG85" s="631">
        <f t="shared" si="64"/>
        <v>0</v>
      </c>
      <c r="BH85" s="631">
        <f t="shared" si="65"/>
        <v>0</v>
      </c>
      <c r="BI85" s="631">
        <f t="shared" si="66"/>
        <v>0.47222222222222221</v>
      </c>
      <c r="BJ85" s="631">
        <f t="shared" si="67"/>
        <v>0.47222222222222221</v>
      </c>
      <c r="BK85" s="631"/>
      <c r="BL85" s="642">
        <f t="shared" si="53"/>
        <v>0.88888888888888884</v>
      </c>
      <c r="BM85" s="642">
        <f t="shared" si="54"/>
        <v>0.88888888888888884</v>
      </c>
      <c r="BN85" s="642">
        <f t="shared" si="55"/>
        <v>1</v>
      </c>
      <c r="BO85" s="642">
        <f t="shared" si="56"/>
        <v>1</v>
      </c>
      <c r="BP85" s="642">
        <f t="shared" si="57"/>
        <v>0</v>
      </c>
      <c r="BQ85" s="642">
        <f t="shared" si="58"/>
        <v>0</v>
      </c>
      <c r="BR85" s="642">
        <f t="shared" si="59"/>
        <v>0</v>
      </c>
      <c r="BS85" s="642">
        <f t="shared" si="60"/>
        <v>0</v>
      </c>
      <c r="BT85" s="639">
        <f t="shared" si="61"/>
        <v>0.58333333333333337</v>
      </c>
      <c r="BU85" s="640" t="str">
        <f t="shared" si="74"/>
        <v>Brindar Soporte a usuario interno</v>
      </c>
      <c r="BV85" s="613">
        <f t="shared" si="40"/>
        <v>28560000</v>
      </c>
      <c r="BW85" s="454"/>
      <c r="BX85" s="454"/>
      <c r="BY85" s="454"/>
      <c r="BZ85" s="454"/>
      <c r="CA85" s="454"/>
      <c r="CB85" s="454"/>
      <c r="CC85" s="454"/>
    </row>
    <row r="86" spans="1:81" s="428" customFormat="1" ht="409.5" x14ac:dyDescent="0.25">
      <c r="A86" s="468">
        <v>11600</v>
      </c>
      <c r="B86" s="469" t="s">
        <v>6</v>
      </c>
      <c r="C86" s="470" t="s">
        <v>278</v>
      </c>
      <c r="D86" s="469" t="s">
        <v>147</v>
      </c>
      <c r="E86" s="470" t="s">
        <v>525</v>
      </c>
      <c r="F86" s="469" t="s">
        <v>288</v>
      </c>
      <c r="G86" s="471" t="s">
        <v>123</v>
      </c>
      <c r="H86" s="472">
        <v>1</v>
      </c>
      <c r="I86" s="470" t="s">
        <v>526</v>
      </c>
      <c r="J86" s="469" t="s">
        <v>288</v>
      </c>
      <c r="K86" s="688">
        <v>146880000</v>
      </c>
      <c r="L86" s="632">
        <v>1</v>
      </c>
      <c r="M86" s="457" t="s">
        <v>46</v>
      </c>
      <c r="N86" s="457" t="s">
        <v>73</v>
      </c>
      <c r="O86" s="457" t="s">
        <v>37</v>
      </c>
      <c r="P86" s="457" t="s">
        <v>40</v>
      </c>
      <c r="Q86" s="457" t="s">
        <v>228</v>
      </c>
      <c r="R86" s="457" t="s">
        <v>379</v>
      </c>
      <c r="S86" s="457" t="s">
        <v>99</v>
      </c>
      <c r="T86" s="632">
        <v>1</v>
      </c>
      <c r="U86" s="619" t="str">
        <f t="shared" si="62"/>
        <v>Brindar Soporte al procesos BDUA</v>
      </c>
      <c r="V86" s="633">
        <f t="shared" si="63"/>
        <v>146880000</v>
      </c>
      <c r="W86" s="634" t="s">
        <v>114</v>
      </c>
      <c r="X86" s="631">
        <v>0.25</v>
      </c>
      <c r="Y86" s="1374" t="str">
        <f>+U86</f>
        <v>Brindar Soporte al procesos BDUA</v>
      </c>
      <c r="Z86" s="635">
        <v>36720000</v>
      </c>
      <c r="AA86" s="643">
        <f>(AB86/Z86)/4</f>
        <v>0.22222222222222221</v>
      </c>
      <c r="AB86" s="629">
        <f>(4080000+2720000+4080000)+(4080000+2720000+4080000)+(4080000+2720000+4080000)</f>
        <v>32640000</v>
      </c>
      <c r="AC86" s="632">
        <f t="shared" si="78"/>
        <v>0.88888888888888884</v>
      </c>
      <c r="AD86" s="632">
        <f t="shared" si="42"/>
        <v>0.88888888888888884</v>
      </c>
      <c r="AE86" s="632">
        <f t="shared" si="43"/>
        <v>0.22222222222222221</v>
      </c>
      <c r="AF86" s="632">
        <f t="shared" si="77"/>
        <v>0.22222222222222221</v>
      </c>
      <c r="AG86" s="636" t="s">
        <v>1160</v>
      </c>
      <c r="AH86" s="631">
        <v>0.25</v>
      </c>
      <c r="AI86" s="1374" t="str">
        <f>+U86</f>
        <v>Brindar Soporte al procesos BDUA</v>
      </c>
      <c r="AJ86" s="635">
        <v>36720000</v>
      </c>
      <c r="AK86" s="645">
        <f>(AL86*AH86)/AJ86</f>
        <v>0.25</v>
      </c>
      <c r="AL86" s="616">
        <v>36720000</v>
      </c>
      <c r="AM86" s="632">
        <f t="shared" si="71"/>
        <v>1</v>
      </c>
      <c r="AN86" s="632">
        <f t="shared" si="72"/>
        <v>1</v>
      </c>
      <c r="AO86" s="632">
        <f t="shared" si="76"/>
        <v>0.47222222222222221</v>
      </c>
      <c r="AP86" s="632">
        <f t="shared" si="73"/>
        <v>0.47222222222222221</v>
      </c>
      <c r="AQ86" s="624" t="s">
        <v>1161</v>
      </c>
      <c r="AR86" s="631">
        <v>0.25</v>
      </c>
      <c r="AS86" s="484" t="str">
        <f t="shared" si="68"/>
        <v>Brindar Soporte al procesos BDUA</v>
      </c>
      <c r="AT86" s="635">
        <v>36720000</v>
      </c>
      <c r="AU86" s="454"/>
      <c r="AV86" s="454"/>
      <c r="AW86" s="632">
        <f t="shared" si="49"/>
        <v>0</v>
      </c>
      <c r="AX86" s="632">
        <f t="shared" si="50"/>
        <v>0</v>
      </c>
      <c r="AY86" s="632">
        <f t="shared" si="51"/>
        <v>0.47222222222222221</v>
      </c>
      <c r="AZ86" s="632">
        <f t="shared" si="52"/>
        <v>0.47222222222222221</v>
      </c>
      <c r="BA86" s="632"/>
      <c r="BB86" s="631">
        <v>0.25</v>
      </c>
      <c r="BC86" s="484" t="str">
        <f t="shared" si="69"/>
        <v>Brindar Soporte al procesos BDUA</v>
      </c>
      <c r="BD86" s="635">
        <v>36720000</v>
      </c>
      <c r="BE86" s="454"/>
      <c r="BF86" s="454"/>
      <c r="BG86" s="631">
        <f t="shared" si="64"/>
        <v>0</v>
      </c>
      <c r="BH86" s="631">
        <f t="shared" si="65"/>
        <v>0</v>
      </c>
      <c r="BI86" s="631">
        <f t="shared" si="66"/>
        <v>0.47222222222222221</v>
      </c>
      <c r="BJ86" s="631">
        <f t="shared" si="67"/>
        <v>0.47222222222222221</v>
      </c>
      <c r="BK86" s="631"/>
      <c r="BL86" s="642">
        <f t="shared" si="53"/>
        <v>0.88888888888888884</v>
      </c>
      <c r="BM86" s="642">
        <f t="shared" si="54"/>
        <v>0.88888888888888884</v>
      </c>
      <c r="BN86" s="642">
        <f t="shared" si="55"/>
        <v>1</v>
      </c>
      <c r="BO86" s="642">
        <f t="shared" si="56"/>
        <v>1</v>
      </c>
      <c r="BP86" s="642">
        <f t="shared" si="57"/>
        <v>0</v>
      </c>
      <c r="BQ86" s="642">
        <f t="shared" si="58"/>
        <v>0</v>
      </c>
      <c r="BR86" s="642">
        <f t="shared" si="59"/>
        <v>0</v>
      </c>
      <c r="BS86" s="642">
        <f t="shared" si="60"/>
        <v>0</v>
      </c>
      <c r="BT86" s="639">
        <f t="shared" si="61"/>
        <v>0.58333333333333337</v>
      </c>
      <c r="BU86" s="640" t="str">
        <f t="shared" si="74"/>
        <v>Brindar Soporte al procesos BDUA</v>
      </c>
      <c r="BV86" s="613">
        <f t="shared" si="40"/>
        <v>85680000</v>
      </c>
      <c r="BW86" s="454"/>
      <c r="BX86" s="454"/>
      <c r="BY86" s="454"/>
      <c r="BZ86" s="454"/>
      <c r="CA86" s="454"/>
      <c r="CB86" s="454"/>
      <c r="CC86" s="454"/>
    </row>
    <row r="87" spans="1:81" s="428" customFormat="1" ht="409.5" x14ac:dyDescent="0.25">
      <c r="A87" s="468">
        <v>11600</v>
      </c>
      <c r="B87" s="469" t="s">
        <v>6</v>
      </c>
      <c r="C87" s="470" t="s">
        <v>278</v>
      </c>
      <c r="D87" s="469" t="s">
        <v>147</v>
      </c>
      <c r="E87" s="470" t="s">
        <v>527</v>
      </c>
      <c r="F87" s="469" t="s">
        <v>289</v>
      </c>
      <c r="G87" s="471" t="s">
        <v>123</v>
      </c>
      <c r="H87" s="472">
        <v>1</v>
      </c>
      <c r="I87" s="470" t="s">
        <v>528</v>
      </c>
      <c r="J87" s="469" t="s">
        <v>289</v>
      </c>
      <c r="K87" s="670">
        <f>576178068-41094712-20547356</f>
        <v>514536000</v>
      </c>
      <c r="L87" s="632">
        <v>1</v>
      </c>
      <c r="M87" s="457" t="s">
        <v>46</v>
      </c>
      <c r="N87" s="457" t="s">
        <v>73</v>
      </c>
      <c r="O87" s="457" t="s">
        <v>37</v>
      </c>
      <c r="P87" s="457" t="s">
        <v>40</v>
      </c>
      <c r="Q87" s="457" t="s">
        <v>228</v>
      </c>
      <c r="R87" s="457" t="s">
        <v>379</v>
      </c>
      <c r="S87" s="457" t="s">
        <v>99</v>
      </c>
      <c r="T87" s="632">
        <v>1</v>
      </c>
      <c r="U87" s="619" t="str">
        <f t="shared" si="62"/>
        <v>Brindar Soporte a los sistemas de información que respaldan los procesos misionales de ADRES</v>
      </c>
      <c r="V87" s="633">
        <f t="shared" si="63"/>
        <v>514536000</v>
      </c>
      <c r="W87" s="634" t="s">
        <v>114</v>
      </c>
      <c r="X87" s="699">
        <f>+Z87/V87</f>
        <v>0.27995031834507206</v>
      </c>
      <c r="Y87" s="1374" t="str">
        <f>+U87</f>
        <v>Brindar Soporte a los sistemas de información que respaldan los procesos misionales de ADRES</v>
      </c>
      <c r="Z87" s="635">
        <v>144044517</v>
      </c>
      <c r="AA87" s="643">
        <f>(AB87/Z87)/4</f>
        <v>4.3630629828138479E-2</v>
      </c>
      <c r="AB87" s="629">
        <f>(3339000+2953605+4430407)+(4080000+2720000+4080000)+(0+3536000+0)</f>
        <v>25139012</v>
      </c>
      <c r="AC87" s="632">
        <f t="shared" si="78"/>
        <v>0.15585133135786808</v>
      </c>
      <c r="AD87" s="632">
        <f t="shared" si="42"/>
        <v>0.17452251931255391</v>
      </c>
      <c r="AE87" s="632">
        <f t="shared" si="43"/>
        <v>4.3630629828138479E-2</v>
      </c>
      <c r="AF87" s="632">
        <f t="shared" si="77"/>
        <v>4.8857634839933453E-2</v>
      </c>
      <c r="AG87" s="636" t="s">
        <v>1162</v>
      </c>
      <c r="AH87" s="699">
        <v>0.24</v>
      </c>
      <c r="AI87" s="1374" t="str">
        <f>+U87</f>
        <v>Brindar Soporte a los sistemas de información que respaldan los procesos misionales de ADRES</v>
      </c>
      <c r="AJ87" s="696">
        <f>+V87*AH87</f>
        <v>123488640</v>
      </c>
      <c r="AK87" s="645">
        <f>(AL87*AH87)/AJ87</f>
        <v>7.3408315453146133E-2</v>
      </c>
      <c r="AL87" s="616">
        <v>37771221</v>
      </c>
      <c r="AM87" s="632">
        <f>+IFERROR((AK87/AH87),"")</f>
        <v>0.30586798105477558</v>
      </c>
      <c r="AN87" s="632">
        <f t="shared" si="72"/>
        <v>0.30586798105477558</v>
      </c>
      <c r="AO87" s="632">
        <f t="shared" si="76"/>
        <v>0.11703894528128461</v>
      </c>
      <c r="AP87" s="632">
        <f t="shared" si="73"/>
        <v>0.12226595029307959</v>
      </c>
      <c r="AQ87" s="624" t="s">
        <v>1036</v>
      </c>
      <c r="AR87" s="699">
        <v>0.24</v>
      </c>
      <c r="AS87" s="484" t="str">
        <f t="shared" si="68"/>
        <v>Brindar Soporte a los sistemas de información que respaldan los procesos misionales de ADRES</v>
      </c>
      <c r="AT87" s="696">
        <f>+V87*AR87</f>
        <v>123488640</v>
      </c>
      <c r="AU87" s="454"/>
      <c r="AV87" s="454"/>
      <c r="AW87" s="632">
        <f t="shared" si="49"/>
        <v>0</v>
      </c>
      <c r="AX87" s="632">
        <f t="shared" si="50"/>
        <v>0</v>
      </c>
      <c r="AY87" s="632">
        <f t="shared" si="51"/>
        <v>0.11703894528128461</v>
      </c>
      <c r="AZ87" s="632">
        <f t="shared" si="52"/>
        <v>0.12226595029307959</v>
      </c>
      <c r="BA87" s="632"/>
      <c r="BB87" s="699">
        <v>0.24</v>
      </c>
      <c r="BC87" s="484" t="str">
        <f t="shared" si="69"/>
        <v>Brindar Soporte a los sistemas de información que respaldan los procesos misionales de ADRES</v>
      </c>
      <c r="BD87" s="696">
        <f>+V87*BB87</f>
        <v>123488640</v>
      </c>
      <c r="BE87" s="454"/>
      <c r="BF87" s="454"/>
      <c r="BG87" s="631">
        <f t="shared" si="64"/>
        <v>0</v>
      </c>
      <c r="BH87" s="631">
        <f t="shared" si="65"/>
        <v>0</v>
      </c>
      <c r="BI87" s="631">
        <f t="shared" si="66"/>
        <v>0.11703894528128461</v>
      </c>
      <c r="BJ87" s="631">
        <f t="shared" si="67"/>
        <v>0.12226595029307959</v>
      </c>
      <c r="BK87" s="631"/>
      <c r="BL87" s="642">
        <f t="shared" si="53"/>
        <v>0.15585133135786808</v>
      </c>
      <c r="BM87" s="642">
        <f t="shared" si="54"/>
        <v>0.17452251931255391</v>
      </c>
      <c r="BN87" s="642">
        <f t="shared" si="55"/>
        <v>0.30586798105477558</v>
      </c>
      <c r="BO87" s="642">
        <f t="shared" si="56"/>
        <v>0.30586798105477558</v>
      </c>
      <c r="BP87" s="642">
        <f t="shared" si="57"/>
        <v>0</v>
      </c>
      <c r="BQ87" s="642">
        <f t="shared" si="58"/>
        <v>0</v>
      </c>
      <c r="BR87" s="642">
        <f t="shared" si="59"/>
        <v>0</v>
      </c>
      <c r="BS87" s="642">
        <f t="shared" si="60"/>
        <v>0</v>
      </c>
      <c r="BT87" s="639">
        <f t="shared" si="61"/>
        <v>0.59995031834507195</v>
      </c>
      <c r="BU87" s="640" t="str">
        <f t="shared" si="74"/>
        <v>Brindar Soporte a los sistemas de información que respaldan los procesos misionales de ADRES</v>
      </c>
      <c r="BV87" s="613">
        <f t="shared" si="40"/>
        <v>308696037</v>
      </c>
      <c r="BW87" s="454"/>
      <c r="BX87" s="454"/>
      <c r="BY87" s="454"/>
      <c r="BZ87" s="454"/>
      <c r="CA87" s="454"/>
      <c r="CB87" s="454"/>
      <c r="CC87" s="454"/>
    </row>
    <row r="88" spans="1:81" s="428" customFormat="1" ht="369.75" x14ac:dyDescent="0.25">
      <c r="A88" s="468">
        <v>11600</v>
      </c>
      <c r="B88" s="469" t="s">
        <v>6</v>
      </c>
      <c r="C88" s="470" t="s">
        <v>278</v>
      </c>
      <c r="D88" s="469" t="s">
        <v>147</v>
      </c>
      <c r="E88" s="470" t="s">
        <v>639</v>
      </c>
      <c r="F88" s="469" t="s">
        <v>640</v>
      </c>
      <c r="G88" s="471" t="s">
        <v>123</v>
      </c>
      <c r="H88" s="472">
        <v>1</v>
      </c>
      <c r="I88" s="470" t="s">
        <v>641</v>
      </c>
      <c r="J88" s="469" t="s">
        <v>642</v>
      </c>
      <c r="K88" s="688">
        <f>737488220+52499230+56156100</f>
        <v>846143550</v>
      </c>
      <c r="L88" s="632">
        <v>1</v>
      </c>
      <c r="M88" s="457" t="s">
        <v>46</v>
      </c>
      <c r="N88" s="457" t="s">
        <v>73</v>
      </c>
      <c r="O88" s="457" t="s">
        <v>37</v>
      </c>
      <c r="P88" s="457" t="s">
        <v>40</v>
      </c>
      <c r="Q88" s="457" t="s">
        <v>228</v>
      </c>
      <c r="R88" s="457" t="s">
        <v>634</v>
      </c>
      <c r="S88" s="457" t="s">
        <v>99</v>
      </c>
      <c r="T88" s="632">
        <v>1</v>
      </c>
      <c r="U88" s="619" t="str">
        <f t="shared" si="62"/>
        <v>Suministro de Equipos de Computo a la ADRES</v>
      </c>
      <c r="V88" s="633">
        <f t="shared" si="63"/>
        <v>846143550</v>
      </c>
      <c r="W88" s="634" t="s">
        <v>114</v>
      </c>
      <c r="X88" s="631">
        <v>0.25</v>
      </c>
      <c r="Y88" s="1374" t="str">
        <f>+U88</f>
        <v>Suministro de Equipos de Computo a la ADRES</v>
      </c>
      <c r="Z88" s="635">
        <f>+K88*X88</f>
        <v>211535887.5</v>
      </c>
      <c r="AA88" s="643">
        <f>(AB88/Z88)/4</f>
        <v>0.12409059904788024</v>
      </c>
      <c r="AB88" s="629">
        <f>(52499230*2)</f>
        <v>104998460</v>
      </c>
      <c r="AC88" s="632">
        <f t="shared" si="78"/>
        <v>0.49636239619152095</v>
      </c>
      <c r="AD88" s="632">
        <f t="shared" si="42"/>
        <v>0.49636239619152095</v>
      </c>
      <c r="AE88" s="632">
        <f t="shared" si="43"/>
        <v>0.12409059904788024</v>
      </c>
      <c r="AF88" s="632">
        <f t="shared" si="77"/>
        <v>0.12409059904788024</v>
      </c>
      <c r="AG88" s="644" t="s">
        <v>1163</v>
      </c>
      <c r="AH88" s="631">
        <v>0.25</v>
      </c>
      <c r="AI88" s="1374" t="str">
        <f>+U88</f>
        <v>Suministro de Equipos de Computo a la ADRES</v>
      </c>
      <c r="AJ88" s="635">
        <v>211535887.5</v>
      </c>
      <c r="AK88" s="645">
        <f>(AL88*AH88)/AJ88</f>
        <v>0.24818119809576047</v>
      </c>
      <c r="AL88" s="616">
        <v>209996920</v>
      </c>
      <c r="AM88" s="637">
        <f t="shared" si="71"/>
        <v>0.9927247923830419</v>
      </c>
      <c r="AN88" s="632">
        <f t="shared" si="72"/>
        <v>0.9927247923830419</v>
      </c>
      <c r="AO88" s="632">
        <f t="shared" si="76"/>
        <v>0.37227179714364073</v>
      </c>
      <c r="AP88" s="632">
        <f t="shared" si="73"/>
        <v>0.37227179714364067</v>
      </c>
      <c r="AQ88" s="624" t="s">
        <v>1037</v>
      </c>
      <c r="AR88" s="631">
        <v>0.25</v>
      </c>
      <c r="AS88" s="484" t="str">
        <f t="shared" si="68"/>
        <v>Suministro de Equipos de Computo a la ADRES</v>
      </c>
      <c r="AT88" s="635">
        <v>211535887.5</v>
      </c>
      <c r="AU88" s="454"/>
      <c r="AV88" s="454"/>
      <c r="AW88" s="632">
        <f t="shared" si="49"/>
        <v>0</v>
      </c>
      <c r="AX88" s="632">
        <f t="shared" si="50"/>
        <v>0</v>
      </c>
      <c r="AY88" s="632">
        <f t="shared" si="51"/>
        <v>0.37227179714364073</v>
      </c>
      <c r="AZ88" s="632">
        <f t="shared" si="52"/>
        <v>0.37227179714364067</v>
      </c>
      <c r="BA88" s="632"/>
      <c r="BB88" s="631">
        <v>0.25</v>
      </c>
      <c r="BC88" s="484" t="str">
        <f t="shared" si="69"/>
        <v>Suministro de Equipos de Computo a la ADRES</v>
      </c>
      <c r="BD88" s="635">
        <v>211535887.5</v>
      </c>
      <c r="BE88" s="454"/>
      <c r="BF88" s="454"/>
      <c r="BG88" s="631">
        <f t="shared" si="64"/>
        <v>0</v>
      </c>
      <c r="BH88" s="631">
        <f t="shared" si="65"/>
        <v>0</v>
      </c>
      <c r="BI88" s="631">
        <f t="shared" si="66"/>
        <v>0.37227179714364073</v>
      </c>
      <c r="BJ88" s="631">
        <f t="shared" si="67"/>
        <v>0.37227179714364067</v>
      </c>
      <c r="BK88" s="631"/>
      <c r="BL88" s="642">
        <f t="shared" si="53"/>
        <v>0.49636239619152095</v>
      </c>
      <c r="BM88" s="642">
        <f t="shared" si="54"/>
        <v>0.49636239619152095</v>
      </c>
      <c r="BN88" s="642">
        <f t="shared" si="55"/>
        <v>0.9927247923830419</v>
      </c>
      <c r="BO88" s="642">
        <f t="shared" si="56"/>
        <v>0.9927247923830419</v>
      </c>
      <c r="BP88" s="642">
        <f t="shared" si="57"/>
        <v>0</v>
      </c>
      <c r="BQ88" s="642">
        <f t="shared" si="58"/>
        <v>0</v>
      </c>
      <c r="BR88" s="642">
        <f t="shared" si="59"/>
        <v>0</v>
      </c>
      <c r="BS88" s="642">
        <f t="shared" si="60"/>
        <v>0</v>
      </c>
      <c r="BT88" s="639">
        <f t="shared" si="61"/>
        <v>0.58333333333333337</v>
      </c>
      <c r="BU88" s="640" t="str">
        <f t="shared" si="74"/>
        <v>Suministro de Equipos de Computo a la ADRES</v>
      </c>
      <c r="BV88" s="613">
        <f t="shared" si="40"/>
        <v>493583737.5</v>
      </c>
      <c r="BW88" s="454"/>
      <c r="BX88" s="454"/>
      <c r="BY88" s="454"/>
      <c r="BZ88" s="454"/>
      <c r="CA88" s="454"/>
      <c r="CB88" s="454"/>
      <c r="CC88" s="454"/>
    </row>
    <row r="89" spans="1:81" s="428" customFormat="1" ht="63" customHeight="1" x14ac:dyDescent="0.25">
      <c r="A89" s="468">
        <v>11700</v>
      </c>
      <c r="B89" s="469" t="s">
        <v>29</v>
      </c>
      <c r="C89" s="470" t="s">
        <v>844</v>
      </c>
      <c r="D89" s="514" t="s">
        <v>153</v>
      </c>
      <c r="E89" s="515" t="s">
        <v>845</v>
      </c>
      <c r="F89" s="514" t="s">
        <v>133</v>
      </c>
      <c r="G89" s="516" t="s">
        <v>124</v>
      </c>
      <c r="H89" s="515">
        <v>4</v>
      </c>
      <c r="I89" s="515" t="s">
        <v>846</v>
      </c>
      <c r="J89" s="514" t="s">
        <v>24</v>
      </c>
      <c r="K89" s="517">
        <v>0</v>
      </c>
      <c r="L89" s="518">
        <v>1</v>
      </c>
      <c r="M89" s="514" t="s">
        <v>51</v>
      </c>
      <c r="N89" s="514" t="s">
        <v>68</v>
      </c>
      <c r="O89" s="514" t="s">
        <v>21</v>
      </c>
      <c r="P89" s="514" t="s">
        <v>36</v>
      </c>
      <c r="Q89" s="514" t="s">
        <v>75</v>
      </c>
      <c r="R89" s="514" t="s">
        <v>631</v>
      </c>
      <c r="S89" s="514" t="s">
        <v>98</v>
      </c>
      <c r="T89" s="515">
        <v>4</v>
      </c>
      <c r="U89" s="514" t="str">
        <f>+J89</f>
        <v>Reportar el cumplimiento del Plan de Acción de la Dependencia</v>
      </c>
      <c r="V89" s="519">
        <f>+K89</f>
        <v>0</v>
      </c>
      <c r="W89" s="520" t="s">
        <v>117</v>
      </c>
      <c r="X89" s="521">
        <v>1</v>
      </c>
      <c r="Y89" s="514" t="str">
        <f>+U89</f>
        <v>Reportar el cumplimiento del Plan de Acción de la Dependencia</v>
      </c>
      <c r="Z89" s="517">
        <v>0</v>
      </c>
      <c r="AA89" s="516">
        <v>1</v>
      </c>
      <c r="AB89" s="566">
        <v>0</v>
      </c>
      <c r="AC89" s="522">
        <f>+(AA89/X89)</f>
        <v>1</v>
      </c>
      <c r="AD89" s="522" t="e">
        <f>+(AB89/Z89)</f>
        <v>#DIV/0!</v>
      </c>
      <c r="AE89" s="522">
        <f>+(AA89/T89)</f>
        <v>0.25</v>
      </c>
      <c r="AF89" s="522" t="e">
        <f>+(AB89/V89)</f>
        <v>#DIV/0!</v>
      </c>
      <c r="AG89" s="522"/>
      <c r="AH89" s="521">
        <v>1</v>
      </c>
      <c r="AI89" s="514" t="str">
        <f>+U89</f>
        <v>Reportar el cumplimiento del Plan de Acción de la Dependencia</v>
      </c>
      <c r="AJ89" s="517">
        <v>0</v>
      </c>
      <c r="AK89" s="614">
        <v>1</v>
      </c>
      <c r="AL89" s="615">
        <v>0</v>
      </c>
      <c r="AM89" s="522">
        <f>+(AK89/AH89)</f>
        <v>1</v>
      </c>
      <c r="AN89" s="522" t="e">
        <f>+(AL89/AJ89)</f>
        <v>#DIV/0!</v>
      </c>
      <c r="AO89" s="522">
        <f>+(AK89+AA89)/T89</f>
        <v>0.5</v>
      </c>
      <c r="AP89" s="522" t="e">
        <f>+(AL89+AB89)/V89</f>
        <v>#DIV/0!</v>
      </c>
      <c r="AQ89" s="618" t="s">
        <v>1021</v>
      </c>
      <c r="AR89" s="521">
        <v>1</v>
      </c>
      <c r="AS89" s="484" t="str">
        <f t="shared" si="68"/>
        <v>Reportar el cumplimiento del Plan de Acción de la Dependencia</v>
      </c>
      <c r="AT89" s="517">
        <v>0</v>
      </c>
      <c r="AU89" s="523"/>
      <c r="AV89" s="523"/>
      <c r="AW89" s="522">
        <f>+(AU89/AR89)</f>
        <v>0</v>
      </c>
      <c r="AX89" s="522" t="e">
        <f>+(AV89/AT89)</f>
        <v>#DIV/0!</v>
      </c>
      <c r="AY89" s="522">
        <f>+(AK89+AA89+AU89)/T89</f>
        <v>0.5</v>
      </c>
      <c r="AZ89" s="522" t="e">
        <f>+(AL89+AB89+AV89)/V89</f>
        <v>#DIV/0!</v>
      </c>
      <c r="BA89" s="522"/>
      <c r="BB89" s="521">
        <v>1</v>
      </c>
      <c r="BC89" s="484" t="str">
        <f t="shared" si="69"/>
        <v>Reportar el cumplimiento del Plan de Acción de la Dependencia</v>
      </c>
      <c r="BD89" s="517">
        <v>0</v>
      </c>
      <c r="BE89" s="523"/>
      <c r="BF89" s="523"/>
      <c r="BG89" s="522">
        <f>+(BE89/BB89)</f>
        <v>0</v>
      </c>
      <c r="BH89" s="522" t="e">
        <f>+(BF89/BD89)</f>
        <v>#DIV/0!</v>
      </c>
      <c r="BI89" s="522">
        <f>+(AK89+AA89+AU89+BE89)/T89</f>
        <v>0.5</v>
      </c>
      <c r="BJ89" s="522" t="e">
        <f>+(AL89+AB89+AV89+BF89)/V89</f>
        <v>#DIV/0!</v>
      </c>
      <c r="BK89" s="522"/>
      <c r="BL89" s="533">
        <f t="shared" ref="BL89" si="79">IF(AND(X89=0,AA89=0),"No Prog ni Ejec",IF(X89=0,CONCATENATE("No Prog, Ejec=  ",AA89),AA89/X89))</f>
        <v>1</v>
      </c>
      <c r="BM89" s="533" t="str">
        <f t="shared" ref="BM89" si="80">IF(AND(Z89=0,AB89=0),"No Prog ni Ejec",IF(Z89=0,CONCATENATE("No Prog, Ejec=  ",AB89),AB89/Z89))</f>
        <v>No Prog ni Ejec</v>
      </c>
      <c r="BN89" s="533">
        <f t="shared" ref="BN89" si="81">IF(AND(AH89=0,AK89=0),"No Prog ni Ejec",IF(AH89=0,CONCATENATE("No Prog, Ejec=  ",AK89),AK89/AH89))</f>
        <v>1</v>
      </c>
      <c r="BO89" s="533" t="str">
        <f t="shared" ref="BO89" si="82">IF(AND(AJ89=0,AL89=0),"No Prog ni Ejec",IF(AJ89=0,CONCATENATE("No Prog, Ejec=  ",AL89),AL89/AJ89))</f>
        <v>No Prog ni Ejec</v>
      </c>
      <c r="BP89" s="533">
        <f t="shared" ref="BP89" si="83">IF(AND(AR89=0,AU89=0),"No Prog ni Ejec",IF(AR89=0,CONCATENATE("No Prog, Ejec=  ",AU89),AU89/AR89))</f>
        <v>0</v>
      </c>
      <c r="BQ89" s="533" t="str">
        <f t="shared" ref="BQ89" si="84">IF(AND(AT89=0,AV89=0),"No Prog ni Ejec",IF(AT89=0,CONCATENATE("No Prog, Ejec=  ",AV89),AV89/AT89))</f>
        <v>No Prog ni Ejec</v>
      </c>
      <c r="BR89" s="533">
        <f t="shared" ref="BR89" si="85">IF(AND(BB89=0,BE89=0),"No Prog ni Ejec",IF(BB89=0,CONCATENATE("No Prog, Ejec=  ",BE89),BE89/BB89))</f>
        <v>0</v>
      </c>
      <c r="BS89" s="533" t="str">
        <f t="shared" ref="BS89" si="86">IF(AND(BD89=0,BF89=0),"No Prog ni Ejec",IF(BD89=0,CONCATENATE("No Prog, Ejec=  ",BF89),BF89/BD89))</f>
        <v>No Prog ni Ejec</v>
      </c>
      <c r="BT89" s="507">
        <f t="shared" si="61"/>
        <v>2.3333333333333335</v>
      </c>
      <c r="BU89" s="481" t="str">
        <f t="shared" ref="BU89:BU144" si="87">+U89</f>
        <v>Reportar el cumplimiento del Plan de Acción de la Dependencia</v>
      </c>
      <c r="BV89" s="482">
        <f t="shared" si="40"/>
        <v>0</v>
      </c>
      <c r="BW89" s="479"/>
      <c r="BX89" s="479"/>
      <c r="BY89" s="479"/>
      <c r="BZ89" s="479"/>
      <c r="CA89" s="479"/>
      <c r="CB89" s="479"/>
      <c r="CC89" s="479"/>
    </row>
    <row r="90" spans="1:81" s="428" customFormat="1" ht="409.5" x14ac:dyDescent="0.25">
      <c r="A90" s="468">
        <v>11700</v>
      </c>
      <c r="B90" s="469" t="s">
        <v>29</v>
      </c>
      <c r="C90" s="470" t="s">
        <v>328</v>
      </c>
      <c r="D90" s="469" t="s">
        <v>256</v>
      </c>
      <c r="E90" s="470" t="s">
        <v>329</v>
      </c>
      <c r="F90" s="469" t="s">
        <v>159</v>
      </c>
      <c r="G90" s="471" t="s">
        <v>123</v>
      </c>
      <c r="H90" s="472">
        <v>1</v>
      </c>
      <c r="I90" s="470" t="s">
        <v>331</v>
      </c>
      <c r="J90" s="469" t="s">
        <v>156</v>
      </c>
      <c r="K90" s="473">
        <v>0</v>
      </c>
      <c r="L90" s="474">
        <v>1</v>
      </c>
      <c r="M90" s="469" t="s">
        <v>51</v>
      </c>
      <c r="N90" s="469" t="s">
        <v>68</v>
      </c>
      <c r="O90" s="469" t="s">
        <v>21</v>
      </c>
      <c r="P90" s="469" t="s">
        <v>36</v>
      </c>
      <c r="Q90" s="469" t="s">
        <v>75</v>
      </c>
      <c r="R90" s="469" t="s">
        <v>672</v>
      </c>
      <c r="S90" s="469" t="s">
        <v>98</v>
      </c>
      <c r="T90" s="474">
        <v>1</v>
      </c>
      <c r="U90" s="475" t="str">
        <f t="shared" si="62"/>
        <v>Formular los proceso y procedimientos en el marco del MIPG</v>
      </c>
      <c r="V90" s="476">
        <f t="shared" si="63"/>
        <v>0</v>
      </c>
      <c r="W90" s="477" t="s">
        <v>117</v>
      </c>
      <c r="X90" s="472">
        <v>0.15</v>
      </c>
      <c r="Y90" s="484" t="str">
        <f>+U90</f>
        <v>Formular los proceso y procedimientos en el marco del MIPG</v>
      </c>
      <c r="Z90" s="473">
        <v>0</v>
      </c>
      <c r="AA90" s="567">
        <f>(9/9)*X90</f>
        <v>0.15</v>
      </c>
      <c r="AB90" s="482">
        <v>0</v>
      </c>
      <c r="AC90" s="478">
        <f t="shared" si="41"/>
        <v>1</v>
      </c>
      <c r="AD90" s="478" t="e">
        <f t="shared" si="42"/>
        <v>#DIV/0!</v>
      </c>
      <c r="AE90" s="478">
        <f t="shared" si="43"/>
        <v>0.15</v>
      </c>
      <c r="AF90" s="478" t="e">
        <f t="shared" si="44"/>
        <v>#DIV/0!</v>
      </c>
      <c r="AG90" s="478"/>
      <c r="AH90" s="472">
        <v>0.85</v>
      </c>
      <c r="AI90" s="484" t="str">
        <f>+U90</f>
        <v>Formular los proceso y procedimientos en el marco del MIPG</v>
      </c>
      <c r="AJ90" s="473">
        <v>0</v>
      </c>
      <c r="AK90" s="612">
        <f>41/58</f>
        <v>0.7068965517241379</v>
      </c>
      <c r="AL90" s="616">
        <v>0</v>
      </c>
      <c r="AM90" s="478">
        <f t="shared" si="45"/>
        <v>0.83164300202839758</v>
      </c>
      <c r="AN90" s="478" t="e">
        <f t="shared" si="46"/>
        <v>#DIV/0!</v>
      </c>
      <c r="AO90" s="478">
        <f t="shared" si="47"/>
        <v>0.85689655172413792</v>
      </c>
      <c r="AP90" s="478" t="e">
        <f t="shared" si="48"/>
        <v>#DIV/0!</v>
      </c>
      <c r="AQ90" s="619" t="s">
        <v>1022</v>
      </c>
      <c r="AR90" s="472">
        <v>0</v>
      </c>
      <c r="AS90" s="484" t="str">
        <f t="shared" si="68"/>
        <v>Formular los proceso y procedimientos en el marco del MIPG</v>
      </c>
      <c r="AT90" s="473">
        <v>0</v>
      </c>
      <c r="AU90" s="479"/>
      <c r="AV90" s="479"/>
      <c r="AW90" s="478" t="e">
        <f t="shared" si="49"/>
        <v>#DIV/0!</v>
      </c>
      <c r="AX90" s="478" t="e">
        <f t="shared" si="50"/>
        <v>#DIV/0!</v>
      </c>
      <c r="AY90" s="478">
        <f t="shared" si="51"/>
        <v>0.85689655172413792</v>
      </c>
      <c r="AZ90" s="478" t="e">
        <f t="shared" si="52"/>
        <v>#DIV/0!</v>
      </c>
      <c r="BA90" s="478"/>
      <c r="BB90" s="472">
        <v>0</v>
      </c>
      <c r="BC90" s="484" t="str">
        <f t="shared" si="69"/>
        <v>Formular los proceso y procedimientos en el marco del MIPG</v>
      </c>
      <c r="BD90" s="473">
        <v>0</v>
      </c>
      <c r="BE90" s="479"/>
      <c r="BF90" s="479"/>
      <c r="BG90" s="472" t="e">
        <f t="shared" si="64"/>
        <v>#DIV/0!</v>
      </c>
      <c r="BH90" s="472" t="e">
        <f t="shared" si="65"/>
        <v>#DIV/0!</v>
      </c>
      <c r="BI90" s="472">
        <f t="shared" si="66"/>
        <v>0.85689655172413792</v>
      </c>
      <c r="BJ90" s="472" t="e">
        <f t="shared" si="67"/>
        <v>#DIV/0!</v>
      </c>
      <c r="BK90" s="472"/>
      <c r="BL90" s="533">
        <f t="shared" si="53"/>
        <v>1</v>
      </c>
      <c r="BM90" s="533" t="str">
        <f t="shared" si="54"/>
        <v>No Prog ni Ejec</v>
      </c>
      <c r="BN90" s="533">
        <f t="shared" si="55"/>
        <v>0.83164300202839758</v>
      </c>
      <c r="BO90" s="533" t="str">
        <f t="shared" si="56"/>
        <v>No Prog ni Ejec</v>
      </c>
      <c r="BP90" s="533" t="str">
        <f t="shared" si="57"/>
        <v>No Prog ni Ejec</v>
      </c>
      <c r="BQ90" s="533" t="str">
        <f t="shared" si="58"/>
        <v>No Prog ni Ejec</v>
      </c>
      <c r="BR90" s="533" t="str">
        <f t="shared" si="59"/>
        <v>No Prog ni Ejec</v>
      </c>
      <c r="BS90" s="533" t="str">
        <f t="shared" si="60"/>
        <v>No Prog ni Ejec</v>
      </c>
      <c r="BT90" s="480">
        <f t="shared" si="61"/>
        <v>1</v>
      </c>
      <c r="BU90" s="481" t="str">
        <f t="shared" si="87"/>
        <v>Formular los proceso y procedimientos en el marco del MIPG</v>
      </c>
      <c r="BV90" s="482">
        <f t="shared" si="40"/>
        <v>0</v>
      </c>
      <c r="BW90" s="479"/>
      <c r="BX90" s="479"/>
      <c r="BY90" s="479"/>
      <c r="BZ90" s="479"/>
      <c r="CA90" s="479"/>
      <c r="CB90" s="479"/>
      <c r="CC90" s="479"/>
    </row>
    <row r="91" spans="1:81" s="428" customFormat="1" ht="89.25" x14ac:dyDescent="0.25">
      <c r="A91" s="468">
        <v>11700</v>
      </c>
      <c r="B91" s="469" t="s">
        <v>29</v>
      </c>
      <c r="C91" s="470" t="s">
        <v>328</v>
      </c>
      <c r="D91" s="469" t="s">
        <v>256</v>
      </c>
      <c r="E91" s="470" t="s">
        <v>330</v>
      </c>
      <c r="F91" s="469" t="s">
        <v>127</v>
      </c>
      <c r="G91" s="471" t="s">
        <v>123</v>
      </c>
      <c r="H91" s="474">
        <v>1</v>
      </c>
      <c r="I91" s="470" t="s">
        <v>332</v>
      </c>
      <c r="J91" s="469" t="s">
        <v>128</v>
      </c>
      <c r="K91" s="473">
        <v>0</v>
      </c>
      <c r="L91" s="474">
        <v>1</v>
      </c>
      <c r="M91" s="469" t="s">
        <v>51</v>
      </c>
      <c r="N91" s="469" t="s">
        <v>68</v>
      </c>
      <c r="O91" s="469" t="s">
        <v>21</v>
      </c>
      <c r="P91" s="469" t="s">
        <v>36</v>
      </c>
      <c r="Q91" s="469" t="s">
        <v>75</v>
      </c>
      <c r="R91" s="469" t="s">
        <v>570</v>
      </c>
      <c r="S91" s="469" t="s">
        <v>98</v>
      </c>
      <c r="T91" s="474">
        <v>1</v>
      </c>
      <c r="U91" s="475" t="str">
        <f t="shared" si="62"/>
        <v>Remitir informes trimestrales de los indicadores formulados y las acciones de mejoras</v>
      </c>
      <c r="V91" s="476">
        <f t="shared" si="63"/>
        <v>0</v>
      </c>
      <c r="W91" s="477" t="s">
        <v>117</v>
      </c>
      <c r="X91" s="472">
        <v>0</v>
      </c>
      <c r="Y91" s="484" t="str">
        <f>+U91</f>
        <v>Remitir informes trimestrales de los indicadores formulados y las acciones de mejoras</v>
      </c>
      <c r="Z91" s="473">
        <v>0</v>
      </c>
      <c r="AA91" s="568">
        <v>0</v>
      </c>
      <c r="AB91" s="482">
        <v>0</v>
      </c>
      <c r="AC91" s="478" t="e">
        <f t="shared" si="41"/>
        <v>#DIV/0!</v>
      </c>
      <c r="AD91" s="478" t="e">
        <f t="shared" si="42"/>
        <v>#DIV/0!</v>
      </c>
      <c r="AE91" s="478">
        <f t="shared" si="43"/>
        <v>0</v>
      </c>
      <c r="AF91" s="478" t="e">
        <f t="shared" si="44"/>
        <v>#DIV/0!</v>
      </c>
      <c r="AG91" s="478"/>
      <c r="AH91" s="472">
        <v>0</v>
      </c>
      <c r="AI91" s="484" t="str">
        <f>+U91</f>
        <v>Remitir informes trimestrales de los indicadores formulados y las acciones de mejoras</v>
      </c>
      <c r="AJ91" s="473">
        <v>0</v>
      </c>
      <c r="AK91" s="617">
        <v>0</v>
      </c>
      <c r="AL91" s="616">
        <v>0</v>
      </c>
      <c r="AM91" s="478" t="e">
        <f t="shared" si="45"/>
        <v>#DIV/0!</v>
      </c>
      <c r="AN91" s="478" t="e">
        <f t="shared" si="46"/>
        <v>#DIV/0!</v>
      </c>
      <c r="AO91" s="478">
        <f t="shared" si="47"/>
        <v>0</v>
      </c>
      <c r="AP91" s="478" t="e">
        <f t="shared" si="48"/>
        <v>#DIV/0!</v>
      </c>
      <c r="AQ91" s="620" t="s">
        <v>1023</v>
      </c>
      <c r="AR91" s="472">
        <v>0</v>
      </c>
      <c r="AS91" s="484" t="str">
        <f t="shared" si="68"/>
        <v>Remitir informes trimestrales de los indicadores formulados y las acciones de mejoras</v>
      </c>
      <c r="AT91" s="473">
        <v>0</v>
      </c>
      <c r="AU91" s="479"/>
      <c r="AV91" s="479"/>
      <c r="AW91" s="478" t="e">
        <f t="shared" si="49"/>
        <v>#DIV/0!</v>
      </c>
      <c r="AX91" s="478" t="e">
        <f t="shared" si="50"/>
        <v>#DIV/0!</v>
      </c>
      <c r="AY91" s="478">
        <f t="shared" si="51"/>
        <v>0</v>
      </c>
      <c r="AZ91" s="478" t="e">
        <f t="shared" si="52"/>
        <v>#DIV/0!</v>
      </c>
      <c r="BA91" s="478"/>
      <c r="BB91" s="472">
        <v>1</v>
      </c>
      <c r="BC91" s="484" t="str">
        <f t="shared" si="69"/>
        <v>Remitir informes trimestrales de los indicadores formulados y las acciones de mejoras</v>
      </c>
      <c r="BD91" s="473">
        <v>0</v>
      </c>
      <c r="BE91" s="479"/>
      <c r="BF91" s="479"/>
      <c r="BG91" s="472">
        <f t="shared" si="64"/>
        <v>0</v>
      </c>
      <c r="BH91" s="472" t="e">
        <f t="shared" si="65"/>
        <v>#DIV/0!</v>
      </c>
      <c r="BI91" s="472">
        <f t="shared" si="66"/>
        <v>0</v>
      </c>
      <c r="BJ91" s="472" t="e">
        <f t="shared" si="67"/>
        <v>#DIV/0!</v>
      </c>
      <c r="BK91" s="472"/>
      <c r="BL91" s="533" t="str">
        <f t="shared" si="53"/>
        <v>No Prog ni Ejec</v>
      </c>
      <c r="BM91" s="533" t="str">
        <f t="shared" si="54"/>
        <v>No Prog ni Ejec</v>
      </c>
      <c r="BN91" s="533" t="str">
        <f t="shared" si="55"/>
        <v>No Prog ni Ejec</v>
      </c>
      <c r="BO91" s="533" t="str">
        <f t="shared" si="56"/>
        <v>No Prog ni Ejec</v>
      </c>
      <c r="BP91" s="533" t="str">
        <f t="shared" si="57"/>
        <v>No Prog ni Ejec</v>
      </c>
      <c r="BQ91" s="533" t="str">
        <f t="shared" si="58"/>
        <v>No Prog ni Ejec</v>
      </c>
      <c r="BR91" s="533">
        <f t="shared" si="59"/>
        <v>0</v>
      </c>
      <c r="BS91" s="533" t="str">
        <f t="shared" si="60"/>
        <v>No Prog ni Ejec</v>
      </c>
      <c r="BT91" s="480">
        <f t="shared" si="61"/>
        <v>0</v>
      </c>
      <c r="BU91" s="481" t="str">
        <f t="shared" si="87"/>
        <v>Remitir informes trimestrales de los indicadores formulados y las acciones de mejoras</v>
      </c>
      <c r="BV91" s="482">
        <f t="shared" si="40"/>
        <v>0</v>
      </c>
      <c r="BW91" s="479"/>
      <c r="BX91" s="479"/>
      <c r="BY91" s="479"/>
      <c r="BZ91" s="479"/>
      <c r="CA91" s="479"/>
      <c r="CB91" s="479"/>
      <c r="CC91" s="479"/>
    </row>
    <row r="92" spans="1:81" s="428" customFormat="1" ht="127.5" x14ac:dyDescent="0.25">
      <c r="A92" s="468">
        <v>11700</v>
      </c>
      <c r="B92" s="469" t="s">
        <v>29</v>
      </c>
      <c r="C92" s="470" t="s">
        <v>328</v>
      </c>
      <c r="D92" s="469" t="s">
        <v>256</v>
      </c>
      <c r="E92" s="470" t="s">
        <v>376</v>
      </c>
      <c r="F92" s="469" t="s">
        <v>380</v>
      </c>
      <c r="G92" s="471" t="s">
        <v>123</v>
      </c>
      <c r="H92" s="472">
        <v>1</v>
      </c>
      <c r="I92" s="470" t="s">
        <v>377</v>
      </c>
      <c r="J92" s="469" t="s">
        <v>934</v>
      </c>
      <c r="K92" s="473">
        <f>27749428000+2002739+19031</f>
        <v>27751449770</v>
      </c>
      <c r="L92" s="474">
        <v>1</v>
      </c>
      <c r="M92" s="469" t="s">
        <v>46</v>
      </c>
      <c r="N92" s="469" t="s">
        <v>68</v>
      </c>
      <c r="O92" s="469" t="s">
        <v>37</v>
      </c>
      <c r="P92" s="469" t="s">
        <v>38</v>
      </c>
      <c r="Q92" s="469" t="s">
        <v>219</v>
      </c>
      <c r="R92" s="469" t="s">
        <v>182</v>
      </c>
      <c r="S92" s="469" t="s">
        <v>99</v>
      </c>
      <c r="T92" s="474">
        <v>1</v>
      </c>
      <c r="U92" s="475" t="str">
        <f t="shared" si="62"/>
        <v>Efectuar los pagos de nomina de los funcionarios de la ADRES</v>
      </c>
      <c r="V92" s="476">
        <f t="shared" si="63"/>
        <v>27751449770</v>
      </c>
      <c r="W92" s="477" t="s">
        <v>114</v>
      </c>
      <c r="X92" s="472">
        <v>0.25</v>
      </c>
      <c r="Y92" s="484" t="str">
        <f t="shared" ref="Y92:Y117" si="88">+U92</f>
        <v>Efectuar los pagos de nomina de los funcionarios de la ADRES</v>
      </c>
      <c r="Z92" s="473">
        <f>+K92*X92</f>
        <v>6937862442.5</v>
      </c>
      <c r="AA92" s="559">
        <f>AB92/V92</f>
        <v>0.14934145290961495</v>
      </c>
      <c r="AB92" s="473">
        <v>4144441829</v>
      </c>
      <c r="AC92" s="478">
        <f>+(AA92/X92)</f>
        <v>0.59736581163845981</v>
      </c>
      <c r="AD92" s="478">
        <f t="shared" si="42"/>
        <v>0.59736581163845981</v>
      </c>
      <c r="AE92" s="478">
        <f t="shared" si="43"/>
        <v>0.14934145290961495</v>
      </c>
      <c r="AF92" s="478">
        <f t="shared" si="44"/>
        <v>0.14934145290961495</v>
      </c>
      <c r="AG92" s="483" t="s">
        <v>985</v>
      </c>
      <c r="AH92" s="472">
        <v>0.25</v>
      </c>
      <c r="AI92" s="484" t="str">
        <f t="shared" ref="AI92:AI118" si="89">+U92</f>
        <v>Efectuar los pagos de nomina de los funcionarios de la ADRES</v>
      </c>
      <c r="AJ92" s="473">
        <v>6937862442.5</v>
      </c>
      <c r="AK92" s="657">
        <f>AL92/V92</f>
        <v>0.17408237216574074</v>
      </c>
      <c r="AL92" s="616">
        <f>1568177653+1595704995+1667155559</f>
        <v>4831038207</v>
      </c>
      <c r="AM92" s="478">
        <f t="shared" si="45"/>
        <v>0.69632948866296296</v>
      </c>
      <c r="AN92" s="478">
        <f t="shared" si="46"/>
        <v>0.69632948866296296</v>
      </c>
      <c r="AO92" s="478">
        <f t="shared" si="47"/>
        <v>0.32342382507535572</v>
      </c>
      <c r="AP92" s="478">
        <f t="shared" si="48"/>
        <v>0.32342382507535572</v>
      </c>
      <c r="AQ92" s="636" t="s">
        <v>1164</v>
      </c>
      <c r="AR92" s="472">
        <v>0.25</v>
      </c>
      <c r="AS92" s="484" t="str">
        <f t="shared" si="68"/>
        <v>Efectuar los pagos de nomina de los funcionarios de la ADRES</v>
      </c>
      <c r="AT92" s="473">
        <v>6937862442.5</v>
      </c>
      <c r="AU92" s="479"/>
      <c r="AV92" s="479"/>
      <c r="AW92" s="478">
        <f t="shared" si="49"/>
        <v>0</v>
      </c>
      <c r="AX92" s="478">
        <f t="shared" si="50"/>
        <v>0</v>
      </c>
      <c r="AY92" s="478">
        <f t="shared" si="51"/>
        <v>0.32342382507535572</v>
      </c>
      <c r="AZ92" s="478">
        <f t="shared" si="52"/>
        <v>0.32342382507535572</v>
      </c>
      <c r="BA92" s="478"/>
      <c r="BB92" s="472">
        <v>0.25</v>
      </c>
      <c r="BC92" s="484" t="str">
        <f t="shared" si="69"/>
        <v>Efectuar los pagos de nomina de los funcionarios de la ADRES</v>
      </c>
      <c r="BD92" s="473">
        <v>6937862442.5</v>
      </c>
      <c r="BE92" s="479"/>
      <c r="BF92" s="479"/>
      <c r="BG92" s="472">
        <f t="shared" si="64"/>
        <v>0</v>
      </c>
      <c r="BH92" s="472">
        <f t="shared" si="65"/>
        <v>0</v>
      </c>
      <c r="BI92" s="472">
        <f t="shared" si="66"/>
        <v>0.32342382507535572</v>
      </c>
      <c r="BJ92" s="472">
        <f t="shared" si="67"/>
        <v>0.32342382507535572</v>
      </c>
      <c r="BK92" s="472"/>
      <c r="BL92" s="533">
        <f>IF(AND(X92=0,AA92=0),"No Prog ni Ejec",IF(X92=0,CONCATENATE("No Prog, Ejec=  ",AA92),AA92/X92))</f>
        <v>0.59736581163845981</v>
      </c>
      <c r="BM92" s="533">
        <f t="shared" si="54"/>
        <v>0.59736581163845981</v>
      </c>
      <c r="BN92" s="533">
        <f t="shared" si="55"/>
        <v>0.69632948866296296</v>
      </c>
      <c r="BO92" s="533">
        <f t="shared" si="56"/>
        <v>0.69632948866296296</v>
      </c>
      <c r="BP92" s="533">
        <f t="shared" si="57"/>
        <v>0</v>
      </c>
      <c r="BQ92" s="533">
        <f t="shared" si="58"/>
        <v>0</v>
      </c>
      <c r="BR92" s="533">
        <f t="shared" si="59"/>
        <v>0</v>
      </c>
      <c r="BS92" s="533">
        <f t="shared" si="60"/>
        <v>0</v>
      </c>
      <c r="BT92" s="480">
        <f t="shared" si="61"/>
        <v>0.58333333333333337</v>
      </c>
      <c r="BU92" s="481" t="str">
        <f t="shared" si="87"/>
        <v>Efectuar los pagos de nomina de los funcionarios de la ADRES</v>
      </c>
      <c r="BV92" s="482">
        <f t="shared" si="40"/>
        <v>16188345699.166666</v>
      </c>
      <c r="BW92" s="479"/>
      <c r="BX92" s="479"/>
      <c r="BY92" s="479"/>
      <c r="BZ92" s="479"/>
      <c r="CA92" s="479"/>
      <c r="CB92" s="479"/>
      <c r="CC92" s="479"/>
    </row>
    <row r="93" spans="1:81" s="428" customFormat="1" ht="89.25" x14ac:dyDescent="0.25">
      <c r="A93" s="468">
        <v>11700</v>
      </c>
      <c r="B93" s="469" t="s">
        <v>29</v>
      </c>
      <c r="C93" s="470" t="s">
        <v>328</v>
      </c>
      <c r="D93" s="469" t="s">
        <v>256</v>
      </c>
      <c r="E93" s="470" t="s">
        <v>330</v>
      </c>
      <c r="F93" s="469" t="s">
        <v>380</v>
      </c>
      <c r="G93" s="471" t="s">
        <v>123</v>
      </c>
      <c r="H93" s="472">
        <v>1</v>
      </c>
      <c r="I93" s="470" t="s">
        <v>751</v>
      </c>
      <c r="J93" s="469" t="s">
        <v>978</v>
      </c>
      <c r="K93" s="473">
        <v>1000000000</v>
      </c>
      <c r="L93" s="474">
        <v>1</v>
      </c>
      <c r="M93" s="469" t="s">
        <v>46</v>
      </c>
      <c r="N93" s="469" t="s">
        <v>68</v>
      </c>
      <c r="O93" s="469" t="s">
        <v>37</v>
      </c>
      <c r="P93" s="469" t="s">
        <v>38</v>
      </c>
      <c r="Q93" s="469" t="s">
        <v>219</v>
      </c>
      <c r="R93" s="469" t="s">
        <v>379</v>
      </c>
      <c r="S93" s="469" t="s">
        <v>99</v>
      </c>
      <c r="T93" s="474">
        <v>1</v>
      </c>
      <c r="U93" s="475" t="str">
        <f t="shared" si="62"/>
        <v>Efectuar el pago de las sentencias y conciliaciones de la ADRES de acuerdo con las solicitudes de la Oficina Asesora Jurídica</v>
      </c>
      <c r="V93" s="476">
        <f t="shared" si="63"/>
        <v>1000000000</v>
      </c>
      <c r="W93" s="477" t="s">
        <v>114</v>
      </c>
      <c r="X93" s="472">
        <v>0.25</v>
      </c>
      <c r="Y93" s="484" t="str">
        <f t="shared" si="88"/>
        <v>Efectuar el pago de las sentencias y conciliaciones de la ADRES de acuerdo con las solicitudes de la Oficina Asesora Jurídica</v>
      </c>
      <c r="Z93" s="473">
        <f>+X93*V93</f>
        <v>250000000</v>
      </c>
      <c r="AA93" s="559">
        <f>AB93/V93</f>
        <v>0</v>
      </c>
      <c r="AB93" s="473">
        <v>0</v>
      </c>
      <c r="AC93" s="478">
        <f t="shared" si="41"/>
        <v>0</v>
      </c>
      <c r="AD93" s="478">
        <f t="shared" si="42"/>
        <v>0</v>
      </c>
      <c r="AE93" s="478">
        <f t="shared" si="43"/>
        <v>0</v>
      </c>
      <c r="AF93" s="478">
        <f t="shared" si="44"/>
        <v>0</v>
      </c>
      <c r="AG93" s="483"/>
      <c r="AH93" s="472">
        <v>0.25</v>
      </c>
      <c r="AI93" s="484" t="str">
        <f t="shared" si="89"/>
        <v>Efectuar el pago de las sentencias y conciliaciones de la ADRES de acuerdo con las solicitudes de la Oficina Asesora Jurídica</v>
      </c>
      <c r="AJ93" s="473">
        <v>250000000</v>
      </c>
      <c r="AK93" s="657">
        <f>AL93/V93</f>
        <v>0</v>
      </c>
      <c r="AL93" s="616">
        <v>0</v>
      </c>
      <c r="AM93" s="478">
        <f t="shared" si="45"/>
        <v>0</v>
      </c>
      <c r="AN93" s="478">
        <f t="shared" si="46"/>
        <v>0</v>
      </c>
      <c r="AO93" s="478">
        <f t="shared" si="47"/>
        <v>0</v>
      </c>
      <c r="AP93" s="478">
        <f t="shared" si="48"/>
        <v>0</v>
      </c>
      <c r="AQ93" s="632"/>
      <c r="AR93" s="472">
        <v>0.25</v>
      </c>
      <c r="AS93" s="484" t="str">
        <f t="shared" si="68"/>
        <v>Efectuar el pago de las sentencias y conciliaciones de la ADRES de acuerdo con las solicitudes de la Oficina Asesora Jurídica</v>
      </c>
      <c r="AT93" s="473">
        <v>250000000</v>
      </c>
      <c r="AU93" s="479"/>
      <c r="AV93" s="479"/>
      <c r="AW93" s="478">
        <f t="shared" si="49"/>
        <v>0</v>
      </c>
      <c r="AX93" s="478">
        <f t="shared" si="50"/>
        <v>0</v>
      </c>
      <c r="AY93" s="478">
        <f t="shared" si="51"/>
        <v>0</v>
      </c>
      <c r="AZ93" s="478">
        <f t="shared" si="52"/>
        <v>0</v>
      </c>
      <c r="BA93" s="478"/>
      <c r="BB93" s="472">
        <v>0.25</v>
      </c>
      <c r="BC93" s="484" t="str">
        <f t="shared" si="69"/>
        <v>Efectuar el pago de las sentencias y conciliaciones de la ADRES de acuerdo con las solicitudes de la Oficina Asesora Jurídica</v>
      </c>
      <c r="BD93" s="473">
        <v>250000000</v>
      </c>
      <c r="BE93" s="479"/>
      <c r="BF93" s="479"/>
      <c r="BG93" s="472">
        <f t="shared" si="64"/>
        <v>0</v>
      </c>
      <c r="BH93" s="472">
        <f t="shared" si="65"/>
        <v>0</v>
      </c>
      <c r="BI93" s="472">
        <f t="shared" si="66"/>
        <v>0</v>
      </c>
      <c r="BJ93" s="472">
        <f t="shared" si="67"/>
        <v>0</v>
      </c>
      <c r="BK93" s="472"/>
      <c r="BL93" s="533">
        <f t="shared" si="53"/>
        <v>0</v>
      </c>
      <c r="BM93" s="533">
        <f t="shared" si="54"/>
        <v>0</v>
      </c>
      <c r="BN93" s="533">
        <f t="shared" si="55"/>
        <v>0</v>
      </c>
      <c r="BO93" s="533">
        <f t="shared" si="56"/>
        <v>0</v>
      </c>
      <c r="BP93" s="533">
        <f t="shared" si="57"/>
        <v>0</v>
      </c>
      <c r="BQ93" s="533">
        <f t="shared" si="58"/>
        <v>0</v>
      </c>
      <c r="BR93" s="533">
        <f t="shared" si="59"/>
        <v>0</v>
      </c>
      <c r="BS93" s="533">
        <f t="shared" si="60"/>
        <v>0</v>
      </c>
      <c r="BT93" s="480">
        <f t="shared" si="61"/>
        <v>0.58333333333333337</v>
      </c>
      <c r="BU93" s="481" t="str">
        <f t="shared" si="87"/>
        <v>Efectuar el pago de las sentencias y conciliaciones de la ADRES de acuerdo con las solicitudes de la Oficina Asesora Jurídica</v>
      </c>
      <c r="BV93" s="482">
        <f t="shared" si="40"/>
        <v>583333333.33333337</v>
      </c>
      <c r="BW93" s="479"/>
      <c r="BX93" s="479"/>
      <c r="BY93" s="479"/>
      <c r="BZ93" s="479"/>
      <c r="CA93" s="479"/>
      <c r="CB93" s="479"/>
      <c r="CC93" s="479"/>
    </row>
    <row r="94" spans="1:81" s="428" customFormat="1" ht="204" x14ac:dyDescent="0.25">
      <c r="A94" s="468">
        <v>11700</v>
      </c>
      <c r="B94" s="469" t="s">
        <v>29</v>
      </c>
      <c r="C94" s="470" t="s">
        <v>328</v>
      </c>
      <c r="D94" s="469" t="s">
        <v>256</v>
      </c>
      <c r="E94" s="470" t="s">
        <v>330</v>
      </c>
      <c r="F94" s="469" t="s">
        <v>380</v>
      </c>
      <c r="G94" s="471" t="s">
        <v>123</v>
      </c>
      <c r="H94" s="472">
        <v>1</v>
      </c>
      <c r="I94" s="470" t="s">
        <v>753</v>
      </c>
      <c r="J94" s="469" t="s">
        <v>935</v>
      </c>
      <c r="K94" s="756">
        <f>13118070672+200000000+77284920+48960000+27880404-11300573000-297500000+1059442341.87+636675122-61050000+4645175204-8454712-54265785-53164884-102000000-60150000+1240810616+40000000+420000000+10150000+10000000+8009593-5652500+20547356-30821034-50000000-38642460+119000000</f>
        <v>9619731853.8699989</v>
      </c>
      <c r="L94" s="474">
        <v>1</v>
      </c>
      <c r="M94" s="469" t="s">
        <v>46</v>
      </c>
      <c r="N94" s="469" t="s">
        <v>68</v>
      </c>
      <c r="O94" s="469" t="s">
        <v>37</v>
      </c>
      <c r="P94" s="469" t="s">
        <v>38</v>
      </c>
      <c r="Q94" s="469" t="s">
        <v>219</v>
      </c>
      <c r="R94" s="469" t="s">
        <v>379</v>
      </c>
      <c r="S94" s="469" t="s">
        <v>99</v>
      </c>
      <c r="T94" s="474">
        <v>1</v>
      </c>
      <c r="U94" s="475" t="str">
        <f t="shared" si="62"/>
        <v>Efectuar los pagos de servicios personales indirectos (honorarios y remuneración de servicios técnicos) de acuerdo con las solicitudes de las dependencias de la ADRES</v>
      </c>
      <c r="V94" s="476">
        <f t="shared" si="63"/>
        <v>9619731853.8699989</v>
      </c>
      <c r="W94" s="477" t="s">
        <v>114</v>
      </c>
      <c r="X94" s="472">
        <v>0.25</v>
      </c>
      <c r="Y94" s="484" t="str">
        <f t="shared" si="88"/>
        <v>Efectuar los pagos de servicios personales indirectos (honorarios y remuneración de servicios técnicos) de acuerdo con las solicitudes de las dependencias de la ADRES</v>
      </c>
      <c r="Z94" s="473">
        <f>+X94*V94</f>
        <v>2404932963.4674997</v>
      </c>
      <c r="AA94" s="559">
        <v>0</v>
      </c>
      <c r="AB94" s="482">
        <v>0</v>
      </c>
      <c r="AC94" s="478">
        <f t="shared" si="41"/>
        <v>0</v>
      </c>
      <c r="AD94" s="478">
        <f>+(AB94/Z94)</f>
        <v>0</v>
      </c>
      <c r="AE94" s="478">
        <f t="shared" si="43"/>
        <v>0</v>
      </c>
      <c r="AF94" s="478">
        <f t="shared" si="44"/>
        <v>0</v>
      </c>
      <c r="AG94" s="483" t="s">
        <v>986</v>
      </c>
      <c r="AH94" s="472">
        <v>0.25</v>
      </c>
      <c r="AI94" s="484" t="str">
        <f t="shared" si="89"/>
        <v>Efectuar los pagos de servicios personales indirectos (honorarios y remuneración de servicios técnicos) de acuerdo con las solicitudes de las dependencias de la ADRES</v>
      </c>
      <c r="AJ94" s="473">
        <f>+AH94*V94</f>
        <v>2404932963.4674997</v>
      </c>
      <c r="AK94" s="657">
        <v>0</v>
      </c>
      <c r="AL94" s="648">
        <v>0</v>
      </c>
      <c r="AM94" s="478">
        <f t="shared" si="45"/>
        <v>0</v>
      </c>
      <c r="AN94" s="478">
        <f t="shared" si="46"/>
        <v>0</v>
      </c>
      <c r="AO94" s="478">
        <f t="shared" si="47"/>
        <v>0</v>
      </c>
      <c r="AP94" s="478">
        <f t="shared" si="48"/>
        <v>0</v>
      </c>
      <c r="AQ94" s="636" t="s">
        <v>986</v>
      </c>
      <c r="AR94" s="472">
        <v>0.25</v>
      </c>
      <c r="AS94" s="484" t="str">
        <f t="shared" si="68"/>
        <v>Efectuar los pagos de servicios personales indirectos (honorarios y remuneración de servicios técnicos) de acuerdo con las solicitudes de las dependencias de la ADRES</v>
      </c>
      <c r="AT94" s="473">
        <f>+AR94*V94</f>
        <v>2404932963.4674997</v>
      </c>
      <c r="AU94" s="479"/>
      <c r="AV94" s="479"/>
      <c r="AW94" s="478">
        <f t="shared" si="49"/>
        <v>0</v>
      </c>
      <c r="AX94" s="478">
        <f t="shared" si="50"/>
        <v>0</v>
      </c>
      <c r="AY94" s="478">
        <f t="shared" si="51"/>
        <v>0</v>
      </c>
      <c r="AZ94" s="478">
        <f t="shared" si="52"/>
        <v>0</v>
      </c>
      <c r="BA94" s="478"/>
      <c r="BB94" s="472">
        <v>0.25</v>
      </c>
      <c r="BC94" s="484" t="str">
        <f t="shared" si="69"/>
        <v>Efectuar los pagos de servicios personales indirectos (honorarios y remuneración de servicios técnicos) de acuerdo con las solicitudes de las dependencias de la ADRES</v>
      </c>
      <c r="BD94" s="473">
        <f>+BB94*V94</f>
        <v>2404932963.4674997</v>
      </c>
      <c r="BE94" s="479"/>
      <c r="BF94" s="479"/>
      <c r="BG94" s="472">
        <f t="shared" si="64"/>
        <v>0</v>
      </c>
      <c r="BH94" s="472">
        <f t="shared" si="65"/>
        <v>0</v>
      </c>
      <c r="BI94" s="472">
        <f t="shared" si="66"/>
        <v>0</v>
      </c>
      <c r="BJ94" s="472">
        <f t="shared" si="67"/>
        <v>0</v>
      </c>
      <c r="BK94" s="472"/>
      <c r="BL94" s="533">
        <f t="shared" si="53"/>
        <v>0</v>
      </c>
      <c r="BM94" s="533">
        <f t="shared" si="54"/>
        <v>0</v>
      </c>
      <c r="BN94" s="533">
        <f t="shared" si="55"/>
        <v>0</v>
      </c>
      <c r="BO94" s="533">
        <f t="shared" si="56"/>
        <v>0</v>
      </c>
      <c r="BP94" s="533">
        <f t="shared" si="57"/>
        <v>0</v>
      </c>
      <c r="BQ94" s="533">
        <f t="shared" si="58"/>
        <v>0</v>
      </c>
      <c r="BR94" s="533">
        <f t="shared" si="59"/>
        <v>0</v>
      </c>
      <c r="BS94" s="533">
        <f t="shared" si="60"/>
        <v>0</v>
      </c>
      <c r="BT94" s="480">
        <f t="shared" si="61"/>
        <v>0.58333333333333337</v>
      </c>
      <c r="BU94" s="481" t="str">
        <f t="shared" si="87"/>
        <v>Efectuar los pagos de servicios personales indirectos (honorarios y remuneración de servicios técnicos) de acuerdo con las solicitudes de las dependencias de la ADRES</v>
      </c>
      <c r="BV94" s="482">
        <f t="shared" si="40"/>
        <v>5611510248.0908327</v>
      </c>
      <c r="BW94" s="479"/>
      <c r="BX94" s="479"/>
      <c r="BY94" s="479"/>
      <c r="BZ94" s="479"/>
      <c r="CA94" s="479"/>
      <c r="CB94" s="479"/>
      <c r="CC94" s="479"/>
    </row>
    <row r="95" spans="1:81" s="428" customFormat="1" ht="89.25" x14ac:dyDescent="0.25">
      <c r="A95" s="468">
        <v>11700</v>
      </c>
      <c r="B95" s="469" t="s">
        <v>29</v>
      </c>
      <c r="C95" s="470" t="s">
        <v>328</v>
      </c>
      <c r="D95" s="469" t="s">
        <v>256</v>
      </c>
      <c r="E95" s="470" t="s">
        <v>383</v>
      </c>
      <c r="F95" s="469" t="s">
        <v>382</v>
      </c>
      <c r="G95" s="471" t="s">
        <v>384</v>
      </c>
      <c r="H95" s="470">
        <v>12</v>
      </c>
      <c r="I95" s="470" t="s">
        <v>388</v>
      </c>
      <c r="J95" s="469" t="s">
        <v>381</v>
      </c>
      <c r="K95" s="473">
        <v>0</v>
      </c>
      <c r="L95" s="474">
        <v>1</v>
      </c>
      <c r="M95" s="469" t="s">
        <v>46</v>
      </c>
      <c r="N95" s="469" t="s">
        <v>68</v>
      </c>
      <c r="O95" s="469" t="s">
        <v>37</v>
      </c>
      <c r="P95" s="469" t="s">
        <v>38</v>
      </c>
      <c r="Q95" s="469" t="s">
        <v>219</v>
      </c>
      <c r="R95" s="469" t="s">
        <v>626</v>
      </c>
      <c r="S95" s="469" t="s">
        <v>99</v>
      </c>
      <c r="T95" s="470">
        <v>12</v>
      </c>
      <c r="U95" s="475" t="str">
        <f t="shared" si="62"/>
        <v>Seguimiento a la ejecución presupuestal, PAC y Reservas</v>
      </c>
      <c r="V95" s="476">
        <f t="shared" si="63"/>
        <v>0</v>
      </c>
      <c r="W95" s="477" t="s">
        <v>117</v>
      </c>
      <c r="X95" s="501">
        <v>3</v>
      </c>
      <c r="Y95" s="484" t="str">
        <f t="shared" si="88"/>
        <v>Seguimiento a la ejecución presupuestal, PAC y Reservas</v>
      </c>
      <c r="Z95" s="473">
        <v>0</v>
      </c>
      <c r="AA95" s="479">
        <v>3</v>
      </c>
      <c r="AB95" s="482">
        <v>0</v>
      </c>
      <c r="AC95" s="478">
        <f t="shared" si="41"/>
        <v>1</v>
      </c>
      <c r="AD95" s="478" t="e">
        <f t="shared" si="42"/>
        <v>#DIV/0!</v>
      </c>
      <c r="AE95" s="478">
        <f t="shared" si="43"/>
        <v>0.25</v>
      </c>
      <c r="AF95" s="478" t="e">
        <f t="shared" si="44"/>
        <v>#DIV/0!</v>
      </c>
      <c r="AG95" s="483"/>
      <c r="AH95" s="501">
        <v>3</v>
      </c>
      <c r="AI95" s="484" t="str">
        <f t="shared" si="89"/>
        <v>Seguimiento a la ejecución presupuestal, PAC y Reservas</v>
      </c>
      <c r="AJ95" s="473">
        <v>0</v>
      </c>
      <c r="AK95" s="658">
        <v>3</v>
      </c>
      <c r="AL95" s="616">
        <v>0</v>
      </c>
      <c r="AM95" s="478">
        <f t="shared" si="45"/>
        <v>1</v>
      </c>
      <c r="AN95" s="478" t="e">
        <f t="shared" si="46"/>
        <v>#DIV/0!</v>
      </c>
      <c r="AO95" s="478">
        <f t="shared" si="47"/>
        <v>0.5</v>
      </c>
      <c r="AP95" s="478" t="e">
        <f t="shared" si="48"/>
        <v>#DIV/0!</v>
      </c>
      <c r="AQ95" s="632"/>
      <c r="AR95" s="501">
        <v>3</v>
      </c>
      <c r="AS95" s="484" t="str">
        <f t="shared" si="68"/>
        <v>Seguimiento a la ejecución presupuestal, PAC y Reservas</v>
      </c>
      <c r="AT95" s="473">
        <v>0</v>
      </c>
      <c r="AU95" s="479"/>
      <c r="AV95" s="479"/>
      <c r="AW95" s="478">
        <f t="shared" si="49"/>
        <v>0</v>
      </c>
      <c r="AX95" s="478" t="e">
        <f t="shared" si="50"/>
        <v>#DIV/0!</v>
      </c>
      <c r="AY95" s="478">
        <f t="shared" si="51"/>
        <v>0.5</v>
      </c>
      <c r="AZ95" s="478" t="e">
        <f t="shared" si="52"/>
        <v>#DIV/0!</v>
      </c>
      <c r="BA95" s="478"/>
      <c r="BB95" s="501">
        <v>3</v>
      </c>
      <c r="BC95" s="484" t="str">
        <f t="shared" si="69"/>
        <v>Seguimiento a la ejecución presupuestal, PAC y Reservas</v>
      </c>
      <c r="BD95" s="473">
        <v>0</v>
      </c>
      <c r="BE95" s="479"/>
      <c r="BF95" s="479"/>
      <c r="BG95" s="472">
        <f t="shared" si="64"/>
        <v>0</v>
      </c>
      <c r="BH95" s="472" t="e">
        <f t="shared" si="65"/>
        <v>#DIV/0!</v>
      </c>
      <c r="BI95" s="472">
        <f t="shared" si="66"/>
        <v>0.5</v>
      </c>
      <c r="BJ95" s="472" t="e">
        <f t="shared" si="67"/>
        <v>#DIV/0!</v>
      </c>
      <c r="BK95" s="472"/>
      <c r="BL95" s="533">
        <f t="shared" si="53"/>
        <v>1</v>
      </c>
      <c r="BM95" s="533" t="str">
        <f t="shared" si="54"/>
        <v>No Prog ni Ejec</v>
      </c>
      <c r="BN95" s="533">
        <f t="shared" si="55"/>
        <v>1</v>
      </c>
      <c r="BO95" s="533" t="str">
        <f t="shared" si="56"/>
        <v>No Prog ni Ejec</v>
      </c>
      <c r="BP95" s="533">
        <f t="shared" si="57"/>
        <v>0</v>
      </c>
      <c r="BQ95" s="533" t="str">
        <f t="shared" si="58"/>
        <v>No Prog ni Ejec</v>
      </c>
      <c r="BR95" s="533">
        <f t="shared" si="59"/>
        <v>0</v>
      </c>
      <c r="BS95" s="533" t="str">
        <f t="shared" si="60"/>
        <v>No Prog ni Ejec</v>
      </c>
      <c r="BT95" s="507">
        <f t="shared" si="61"/>
        <v>7</v>
      </c>
      <c r="BU95" s="481" t="str">
        <f t="shared" si="87"/>
        <v>Seguimiento a la ejecución presupuestal, PAC y Reservas</v>
      </c>
      <c r="BV95" s="482">
        <f t="shared" si="40"/>
        <v>0</v>
      </c>
      <c r="BW95" s="479"/>
      <c r="BX95" s="479"/>
      <c r="BY95" s="479"/>
      <c r="BZ95" s="479"/>
      <c r="CA95" s="479"/>
      <c r="CB95" s="479"/>
      <c r="CC95" s="479"/>
    </row>
    <row r="96" spans="1:81" s="428" customFormat="1" ht="89.25" x14ac:dyDescent="0.25">
      <c r="A96" s="468">
        <v>11700</v>
      </c>
      <c r="B96" s="469" t="s">
        <v>29</v>
      </c>
      <c r="C96" s="470" t="s">
        <v>328</v>
      </c>
      <c r="D96" s="469" t="s">
        <v>256</v>
      </c>
      <c r="E96" s="470" t="s">
        <v>385</v>
      </c>
      <c r="F96" s="469" t="s">
        <v>387</v>
      </c>
      <c r="G96" s="471" t="s">
        <v>384</v>
      </c>
      <c r="H96" s="470">
        <v>4</v>
      </c>
      <c r="I96" s="470" t="s">
        <v>389</v>
      </c>
      <c r="J96" s="469" t="s">
        <v>386</v>
      </c>
      <c r="K96" s="473">
        <v>0</v>
      </c>
      <c r="L96" s="474">
        <v>1</v>
      </c>
      <c r="M96" s="469" t="s">
        <v>46</v>
      </c>
      <c r="N96" s="469" t="s">
        <v>68</v>
      </c>
      <c r="O96" s="469" t="s">
        <v>37</v>
      </c>
      <c r="P96" s="469" t="s">
        <v>38</v>
      </c>
      <c r="Q96" s="469" t="s">
        <v>219</v>
      </c>
      <c r="R96" s="469" t="s">
        <v>627</v>
      </c>
      <c r="S96" s="469" t="s">
        <v>99</v>
      </c>
      <c r="T96" s="470">
        <v>4</v>
      </c>
      <c r="U96" s="475" t="str">
        <f t="shared" si="62"/>
        <v>Informes Estados Financieros (Balance General y Estado de Resultados) de la UGG</v>
      </c>
      <c r="V96" s="476">
        <f t="shared" si="63"/>
        <v>0</v>
      </c>
      <c r="W96" s="477" t="s">
        <v>117</v>
      </c>
      <c r="X96" s="501">
        <v>1</v>
      </c>
      <c r="Y96" s="484" t="str">
        <f t="shared" si="88"/>
        <v>Informes Estados Financieros (Balance General y Estado de Resultados) de la UGG</v>
      </c>
      <c r="Z96" s="473">
        <v>0</v>
      </c>
      <c r="AA96" s="479">
        <v>1</v>
      </c>
      <c r="AB96" s="473">
        <v>0</v>
      </c>
      <c r="AC96" s="478">
        <f t="shared" si="41"/>
        <v>1</v>
      </c>
      <c r="AD96" s="478" t="e">
        <f t="shared" si="42"/>
        <v>#DIV/0!</v>
      </c>
      <c r="AE96" s="478">
        <f t="shared" si="43"/>
        <v>0.25</v>
      </c>
      <c r="AF96" s="478" t="e">
        <f t="shared" si="44"/>
        <v>#DIV/0!</v>
      </c>
      <c r="AG96" s="483" t="s">
        <v>987</v>
      </c>
      <c r="AH96" s="501">
        <v>1</v>
      </c>
      <c r="AI96" s="484" t="str">
        <f t="shared" si="89"/>
        <v>Informes Estados Financieros (Balance General y Estado de Resultados) de la UGG</v>
      </c>
      <c r="AJ96" s="473">
        <v>0</v>
      </c>
      <c r="AK96" s="658">
        <v>1</v>
      </c>
      <c r="AL96" s="616">
        <v>0</v>
      </c>
      <c r="AM96" s="478">
        <f t="shared" si="45"/>
        <v>1</v>
      </c>
      <c r="AN96" s="478" t="e">
        <f t="shared" si="46"/>
        <v>#DIV/0!</v>
      </c>
      <c r="AO96" s="478">
        <f t="shared" si="47"/>
        <v>0.5</v>
      </c>
      <c r="AP96" s="478" t="e">
        <f t="shared" si="48"/>
        <v>#DIV/0!</v>
      </c>
      <c r="AQ96" s="632" t="s">
        <v>1165</v>
      </c>
      <c r="AR96" s="501">
        <v>1</v>
      </c>
      <c r="AS96" s="484" t="str">
        <f t="shared" si="68"/>
        <v>Informes Estados Financieros (Balance General y Estado de Resultados) de la UGG</v>
      </c>
      <c r="AT96" s="473">
        <v>0</v>
      </c>
      <c r="AU96" s="479"/>
      <c r="AV96" s="479"/>
      <c r="AW96" s="478">
        <f t="shared" si="49"/>
        <v>0</v>
      </c>
      <c r="AX96" s="478" t="e">
        <f t="shared" si="50"/>
        <v>#DIV/0!</v>
      </c>
      <c r="AY96" s="478">
        <f t="shared" si="51"/>
        <v>0.5</v>
      </c>
      <c r="AZ96" s="478" t="e">
        <f t="shared" si="52"/>
        <v>#DIV/0!</v>
      </c>
      <c r="BA96" s="478"/>
      <c r="BB96" s="501">
        <v>1</v>
      </c>
      <c r="BC96" s="484" t="str">
        <f t="shared" si="69"/>
        <v>Informes Estados Financieros (Balance General y Estado de Resultados) de la UGG</v>
      </c>
      <c r="BD96" s="473">
        <v>0</v>
      </c>
      <c r="BE96" s="479"/>
      <c r="BF96" s="479"/>
      <c r="BG96" s="472">
        <f t="shared" si="64"/>
        <v>0</v>
      </c>
      <c r="BH96" s="472" t="e">
        <f t="shared" si="65"/>
        <v>#DIV/0!</v>
      </c>
      <c r="BI96" s="472">
        <f t="shared" si="66"/>
        <v>0.5</v>
      </c>
      <c r="BJ96" s="472" t="e">
        <f t="shared" si="67"/>
        <v>#DIV/0!</v>
      </c>
      <c r="BK96" s="472"/>
      <c r="BL96" s="533">
        <f t="shared" si="53"/>
        <v>1</v>
      </c>
      <c r="BM96" s="533" t="str">
        <f t="shared" si="54"/>
        <v>No Prog ni Ejec</v>
      </c>
      <c r="BN96" s="533">
        <f t="shared" si="55"/>
        <v>1</v>
      </c>
      <c r="BO96" s="533" t="str">
        <f t="shared" si="56"/>
        <v>No Prog ni Ejec</v>
      </c>
      <c r="BP96" s="533">
        <f t="shared" si="57"/>
        <v>0</v>
      </c>
      <c r="BQ96" s="533" t="str">
        <f t="shared" si="58"/>
        <v>No Prog ni Ejec</v>
      </c>
      <c r="BR96" s="533">
        <f t="shared" si="59"/>
        <v>0</v>
      </c>
      <c r="BS96" s="533" t="str">
        <f t="shared" si="60"/>
        <v>No Prog ni Ejec</v>
      </c>
      <c r="BT96" s="507">
        <f t="shared" si="61"/>
        <v>2.3333333333333335</v>
      </c>
      <c r="BU96" s="481" t="str">
        <f t="shared" si="87"/>
        <v>Informes Estados Financieros (Balance General y Estado de Resultados) de la UGG</v>
      </c>
      <c r="BV96" s="482">
        <f t="shared" si="40"/>
        <v>0</v>
      </c>
      <c r="BW96" s="479"/>
      <c r="BX96" s="479"/>
      <c r="BY96" s="479"/>
      <c r="BZ96" s="479"/>
      <c r="CA96" s="479"/>
      <c r="CB96" s="479"/>
      <c r="CC96" s="479"/>
    </row>
    <row r="97" spans="1:81" s="428" customFormat="1" ht="89.25" x14ac:dyDescent="0.25">
      <c r="A97" s="468">
        <v>11700</v>
      </c>
      <c r="B97" s="469" t="s">
        <v>29</v>
      </c>
      <c r="C97" s="470" t="s">
        <v>328</v>
      </c>
      <c r="D97" s="469" t="s">
        <v>256</v>
      </c>
      <c r="E97" s="470" t="s">
        <v>391</v>
      </c>
      <c r="F97" s="469" t="s">
        <v>393</v>
      </c>
      <c r="G97" s="471" t="s">
        <v>384</v>
      </c>
      <c r="H97" s="470">
        <v>4</v>
      </c>
      <c r="I97" s="470" t="s">
        <v>392</v>
      </c>
      <c r="J97" s="469" t="s">
        <v>390</v>
      </c>
      <c r="K97" s="473">
        <v>0</v>
      </c>
      <c r="L97" s="474">
        <v>1</v>
      </c>
      <c r="M97" s="469" t="s">
        <v>46</v>
      </c>
      <c r="N97" s="469" t="s">
        <v>68</v>
      </c>
      <c r="O97" s="469" t="s">
        <v>37</v>
      </c>
      <c r="P97" s="469" t="s">
        <v>38</v>
      </c>
      <c r="Q97" s="469" t="s">
        <v>219</v>
      </c>
      <c r="R97" s="469" t="s">
        <v>628</v>
      </c>
      <c r="S97" s="469" t="s">
        <v>99</v>
      </c>
      <c r="T97" s="470">
        <v>4</v>
      </c>
      <c r="U97" s="475" t="str">
        <f t="shared" si="62"/>
        <v>Informes Operaciones Reciprocas</v>
      </c>
      <c r="V97" s="476">
        <f t="shared" si="63"/>
        <v>0</v>
      </c>
      <c r="W97" s="477" t="s">
        <v>117</v>
      </c>
      <c r="X97" s="501">
        <v>1</v>
      </c>
      <c r="Y97" s="484" t="str">
        <f t="shared" si="88"/>
        <v>Informes Operaciones Reciprocas</v>
      </c>
      <c r="Z97" s="473">
        <v>0</v>
      </c>
      <c r="AA97" s="479">
        <v>1</v>
      </c>
      <c r="AB97" s="473">
        <v>0</v>
      </c>
      <c r="AC97" s="478">
        <f t="shared" si="41"/>
        <v>1</v>
      </c>
      <c r="AD97" s="478" t="e">
        <f t="shared" si="42"/>
        <v>#DIV/0!</v>
      </c>
      <c r="AE97" s="478">
        <f t="shared" si="43"/>
        <v>0.25</v>
      </c>
      <c r="AF97" s="478" t="e">
        <f t="shared" si="44"/>
        <v>#DIV/0!</v>
      </c>
      <c r="AG97" s="483" t="s">
        <v>987</v>
      </c>
      <c r="AH97" s="501">
        <v>1</v>
      </c>
      <c r="AI97" s="484" t="str">
        <f t="shared" si="89"/>
        <v>Informes Operaciones Reciprocas</v>
      </c>
      <c r="AJ97" s="473">
        <v>0</v>
      </c>
      <c r="AK97" s="658">
        <v>1</v>
      </c>
      <c r="AL97" s="616">
        <v>0</v>
      </c>
      <c r="AM97" s="478">
        <f t="shared" si="45"/>
        <v>1</v>
      </c>
      <c r="AN97" s="478" t="e">
        <f t="shared" si="46"/>
        <v>#DIV/0!</v>
      </c>
      <c r="AO97" s="478">
        <f t="shared" si="47"/>
        <v>0.5</v>
      </c>
      <c r="AP97" s="478" t="e">
        <f t="shared" si="48"/>
        <v>#DIV/0!</v>
      </c>
      <c r="AQ97" s="632" t="s">
        <v>1165</v>
      </c>
      <c r="AR97" s="501">
        <v>1</v>
      </c>
      <c r="AS97" s="484" t="str">
        <f t="shared" si="68"/>
        <v>Informes Operaciones Reciprocas</v>
      </c>
      <c r="AT97" s="473">
        <v>0</v>
      </c>
      <c r="AU97" s="479"/>
      <c r="AV97" s="479"/>
      <c r="AW97" s="478">
        <f t="shared" si="49"/>
        <v>0</v>
      </c>
      <c r="AX97" s="478" t="e">
        <f t="shared" si="50"/>
        <v>#DIV/0!</v>
      </c>
      <c r="AY97" s="478">
        <f t="shared" si="51"/>
        <v>0.5</v>
      </c>
      <c r="AZ97" s="478" t="e">
        <f t="shared" si="52"/>
        <v>#DIV/0!</v>
      </c>
      <c r="BA97" s="478"/>
      <c r="BB97" s="501">
        <v>1</v>
      </c>
      <c r="BC97" s="484" t="str">
        <f t="shared" si="69"/>
        <v>Informes Operaciones Reciprocas</v>
      </c>
      <c r="BD97" s="473">
        <v>0</v>
      </c>
      <c r="BE97" s="479"/>
      <c r="BF97" s="479"/>
      <c r="BG97" s="472">
        <f t="shared" si="64"/>
        <v>0</v>
      </c>
      <c r="BH97" s="472" t="e">
        <f t="shared" si="65"/>
        <v>#DIV/0!</v>
      </c>
      <c r="BI97" s="472">
        <f t="shared" si="66"/>
        <v>0.5</v>
      </c>
      <c r="BJ97" s="472" t="e">
        <f t="shared" si="67"/>
        <v>#DIV/0!</v>
      </c>
      <c r="BK97" s="472"/>
      <c r="BL97" s="533">
        <f t="shared" si="53"/>
        <v>1</v>
      </c>
      <c r="BM97" s="533" t="str">
        <f t="shared" si="54"/>
        <v>No Prog ni Ejec</v>
      </c>
      <c r="BN97" s="533">
        <f t="shared" si="55"/>
        <v>1</v>
      </c>
      <c r="BO97" s="533" t="str">
        <f t="shared" si="56"/>
        <v>No Prog ni Ejec</v>
      </c>
      <c r="BP97" s="533">
        <f t="shared" si="57"/>
        <v>0</v>
      </c>
      <c r="BQ97" s="533" t="str">
        <f t="shared" si="58"/>
        <v>No Prog ni Ejec</v>
      </c>
      <c r="BR97" s="533">
        <f t="shared" si="59"/>
        <v>0</v>
      </c>
      <c r="BS97" s="533" t="str">
        <f t="shared" si="60"/>
        <v>No Prog ni Ejec</v>
      </c>
      <c r="BT97" s="507">
        <f t="shared" si="61"/>
        <v>2.3333333333333335</v>
      </c>
      <c r="BU97" s="481" t="str">
        <f t="shared" si="87"/>
        <v>Informes Operaciones Reciprocas</v>
      </c>
      <c r="BV97" s="482">
        <f t="shared" si="40"/>
        <v>0</v>
      </c>
      <c r="BW97" s="479"/>
      <c r="BX97" s="479"/>
      <c r="BY97" s="479"/>
      <c r="BZ97" s="479"/>
      <c r="CA97" s="479"/>
      <c r="CB97" s="479"/>
      <c r="CC97" s="479"/>
    </row>
    <row r="98" spans="1:81" s="428" customFormat="1" ht="127.5" x14ac:dyDescent="0.25">
      <c r="A98" s="468">
        <v>11700</v>
      </c>
      <c r="B98" s="469" t="s">
        <v>29</v>
      </c>
      <c r="C98" s="470" t="s">
        <v>328</v>
      </c>
      <c r="D98" s="469" t="s">
        <v>256</v>
      </c>
      <c r="E98" s="470" t="s">
        <v>394</v>
      </c>
      <c r="F98" s="469" t="s">
        <v>395</v>
      </c>
      <c r="G98" s="471" t="s">
        <v>123</v>
      </c>
      <c r="H98" s="472">
        <v>1</v>
      </c>
      <c r="I98" s="470" t="s">
        <v>396</v>
      </c>
      <c r="J98" s="477" t="s">
        <v>936</v>
      </c>
      <c r="K98" s="473">
        <v>0</v>
      </c>
      <c r="L98" s="474">
        <v>1</v>
      </c>
      <c r="M98" s="469" t="s">
        <v>46</v>
      </c>
      <c r="N98" s="469" t="s">
        <v>68</v>
      </c>
      <c r="O98" s="469" t="s">
        <v>37</v>
      </c>
      <c r="P98" s="469" t="s">
        <v>38</v>
      </c>
      <c r="Q98" s="469" t="s">
        <v>219</v>
      </c>
      <c r="R98" s="469" t="s">
        <v>398</v>
      </c>
      <c r="S98" s="469" t="s">
        <v>99</v>
      </c>
      <c r="T98" s="474">
        <v>1</v>
      </c>
      <c r="U98" s="475" t="str">
        <f t="shared" si="62"/>
        <v xml:space="preserve">Pago de las Cuentas de Cobro radicadas en el mes que cumplan con los requisitos exigidos debidamente aprobadas y soportadas por los supervisores de los contratos </v>
      </c>
      <c r="V98" s="476">
        <f t="shared" si="63"/>
        <v>0</v>
      </c>
      <c r="W98" s="477" t="s">
        <v>117</v>
      </c>
      <c r="X98" s="472">
        <v>0.25</v>
      </c>
      <c r="Y98" s="484" t="str">
        <f t="shared" si="88"/>
        <v xml:space="preserve">Pago de las Cuentas de Cobro radicadas en el mes que cumplan con los requisitos exigidos debidamente aprobadas y soportadas por los supervisores de los contratos </v>
      </c>
      <c r="Z98" s="473">
        <v>0</v>
      </c>
      <c r="AA98" s="559">
        <f>(291/293)*25%</f>
        <v>0.24829351535836178</v>
      </c>
      <c r="AB98" s="473">
        <v>0</v>
      </c>
      <c r="AC98" s="478">
        <f t="shared" si="41"/>
        <v>0.99317406143344711</v>
      </c>
      <c r="AD98" s="478" t="e">
        <f t="shared" si="42"/>
        <v>#DIV/0!</v>
      </c>
      <c r="AE98" s="478">
        <f t="shared" si="43"/>
        <v>0.24829351535836178</v>
      </c>
      <c r="AF98" s="478" t="e">
        <f t="shared" si="44"/>
        <v>#DIV/0!</v>
      </c>
      <c r="AG98" s="483" t="s">
        <v>988</v>
      </c>
      <c r="AH98" s="472">
        <v>0.25</v>
      </c>
      <c r="AI98" s="484" t="str">
        <f t="shared" si="89"/>
        <v xml:space="preserve">Pago de las Cuentas de Cobro radicadas en el mes que cumplan con los requisitos exigidos debidamente aprobadas y soportadas por los supervisores de los contratos </v>
      </c>
      <c r="AJ98" s="473">
        <v>0</v>
      </c>
      <c r="AK98" s="657">
        <f>+(326/324)*25%</f>
        <v>0.25154320987654322</v>
      </c>
      <c r="AL98" s="616">
        <v>0</v>
      </c>
      <c r="AM98" s="478">
        <f t="shared" si="45"/>
        <v>1.0061728395061729</v>
      </c>
      <c r="AN98" s="478" t="e">
        <f t="shared" si="46"/>
        <v>#DIV/0!</v>
      </c>
      <c r="AO98" s="478">
        <f t="shared" si="47"/>
        <v>0.49983672523490497</v>
      </c>
      <c r="AP98" s="478" t="e">
        <f t="shared" si="48"/>
        <v>#DIV/0!</v>
      </c>
      <c r="AQ98" s="636" t="s">
        <v>1166</v>
      </c>
      <c r="AR98" s="472">
        <v>0.25</v>
      </c>
      <c r="AS98" s="484" t="str">
        <f t="shared" si="68"/>
        <v xml:space="preserve">Pago de las Cuentas de Cobro radicadas en el mes que cumplan con los requisitos exigidos debidamente aprobadas y soportadas por los supervisores de los contratos </v>
      </c>
      <c r="AT98" s="473">
        <v>0</v>
      </c>
      <c r="AU98" s="479"/>
      <c r="AV98" s="479"/>
      <c r="AW98" s="478">
        <f t="shared" si="49"/>
        <v>0</v>
      </c>
      <c r="AX98" s="478" t="e">
        <f t="shared" si="50"/>
        <v>#DIV/0!</v>
      </c>
      <c r="AY98" s="478">
        <f t="shared" si="51"/>
        <v>0.49983672523490497</v>
      </c>
      <c r="AZ98" s="478" t="e">
        <f t="shared" si="52"/>
        <v>#DIV/0!</v>
      </c>
      <c r="BA98" s="478"/>
      <c r="BB98" s="472">
        <v>0.25</v>
      </c>
      <c r="BC98" s="484" t="str">
        <f t="shared" si="69"/>
        <v xml:space="preserve">Pago de las Cuentas de Cobro radicadas en el mes que cumplan con los requisitos exigidos debidamente aprobadas y soportadas por los supervisores de los contratos </v>
      </c>
      <c r="BD98" s="473">
        <v>0</v>
      </c>
      <c r="BE98" s="479"/>
      <c r="BF98" s="479"/>
      <c r="BG98" s="472">
        <f t="shared" si="64"/>
        <v>0</v>
      </c>
      <c r="BH98" s="472" t="e">
        <f t="shared" si="65"/>
        <v>#DIV/0!</v>
      </c>
      <c r="BI98" s="472">
        <f t="shared" si="66"/>
        <v>0.49983672523490497</v>
      </c>
      <c r="BJ98" s="472" t="e">
        <f t="shared" si="67"/>
        <v>#DIV/0!</v>
      </c>
      <c r="BK98" s="472"/>
      <c r="BL98" s="533">
        <f t="shared" si="53"/>
        <v>0.99317406143344711</v>
      </c>
      <c r="BM98" s="533" t="str">
        <f t="shared" si="54"/>
        <v>No Prog ni Ejec</v>
      </c>
      <c r="BN98" s="533">
        <f t="shared" si="55"/>
        <v>1.0061728395061729</v>
      </c>
      <c r="BO98" s="533" t="str">
        <f t="shared" si="56"/>
        <v>No Prog ni Ejec</v>
      </c>
      <c r="BP98" s="533">
        <f t="shared" si="57"/>
        <v>0</v>
      </c>
      <c r="BQ98" s="533" t="str">
        <f t="shared" si="58"/>
        <v>No Prog ni Ejec</v>
      </c>
      <c r="BR98" s="533">
        <f t="shared" si="59"/>
        <v>0</v>
      </c>
      <c r="BS98" s="533" t="str">
        <f t="shared" si="60"/>
        <v>No Prog ni Ejec</v>
      </c>
      <c r="BT98" s="480">
        <f t="shared" si="61"/>
        <v>0.58333333333333337</v>
      </c>
      <c r="BU98" s="481" t="str">
        <f t="shared" si="87"/>
        <v xml:space="preserve">Pago de las Cuentas de Cobro radicadas en el mes que cumplan con los requisitos exigidos debidamente aprobadas y soportadas por los supervisores de los contratos </v>
      </c>
      <c r="BV98" s="482">
        <f t="shared" si="40"/>
        <v>0</v>
      </c>
      <c r="BW98" s="479"/>
      <c r="BX98" s="479"/>
      <c r="BY98" s="479"/>
      <c r="BZ98" s="479"/>
      <c r="CA98" s="479"/>
      <c r="CB98" s="479"/>
      <c r="CC98" s="479"/>
    </row>
    <row r="99" spans="1:81" s="428" customFormat="1" ht="114.75" x14ac:dyDescent="0.25">
      <c r="A99" s="468">
        <v>11700</v>
      </c>
      <c r="B99" s="469" t="s">
        <v>29</v>
      </c>
      <c r="C99" s="470" t="s">
        <v>328</v>
      </c>
      <c r="D99" s="469" t="s">
        <v>256</v>
      </c>
      <c r="E99" s="470" t="s">
        <v>399</v>
      </c>
      <c r="F99" s="469" t="s">
        <v>400</v>
      </c>
      <c r="G99" s="471" t="s">
        <v>123</v>
      </c>
      <c r="H99" s="472">
        <v>1</v>
      </c>
      <c r="I99" s="470" t="s">
        <v>403</v>
      </c>
      <c r="J99" s="469" t="s">
        <v>937</v>
      </c>
      <c r="K99" s="473">
        <f>319126980-30000000</f>
        <v>289126980</v>
      </c>
      <c r="L99" s="474">
        <v>1</v>
      </c>
      <c r="M99" s="469" t="s">
        <v>51</v>
      </c>
      <c r="N99" s="469" t="s">
        <v>56</v>
      </c>
      <c r="O99" s="469" t="s">
        <v>37</v>
      </c>
      <c r="P99" s="469" t="s">
        <v>40</v>
      </c>
      <c r="Q99" s="469" t="s">
        <v>217</v>
      </c>
      <c r="R99" s="469" t="s">
        <v>938</v>
      </c>
      <c r="S99" s="469" t="s">
        <v>111</v>
      </c>
      <c r="T99" s="474">
        <v>1</v>
      </c>
      <c r="U99" s="475" t="str">
        <f t="shared" si="62"/>
        <v>Trámites  Precontractuales y Contractuales Adelantados de conformidad con Plan de Adquisiciones</v>
      </c>
      <c r="V99" s="476">
        <f t="shared" si="63"/>
        <v>289126980</v>
      </c>
      <c r="W99" s="477" t="s">
        <v>114</v>
      </c>
      <c r="X99" s="472">
        <v>0.25</v>
      </c>
      <c r="Y99" s="484" t="str">
        <f t="shared" si="88"/>
        <v>Trámites  Precontractuales y Contractuales Adelantados de conformidad con Plan de Adquisiciones</v>
      </c>
      <c r="Z99" s="473">
        <f>+V99*X99</f>
        <v>72281745</v>
      </c>
      <c r="AA99" s="569">
        <f>(69/70)*25%</f>
        <v>0.24642857142857144</v>
      </c>
      <c r="AB99" s="473">
        <f>40156524+6692754+1070841</f>
        <v>47920119</v>
      </c>
      <c r="AC99" s="478">
        <f t="shared" si="41"/>
        <v>0.98571428571428577</v>
      </c>
      <c r="AD99" s="478">
        <f>+(AB99/Z99)</f>
        <v>0.66296295143400319</v>
      </c>
      <c r="AE99" s="478">
        <f t="shared" si="43"/>
        <v>0.24642857142857144</v>
      </c>
      <c r="AF99" s="478">
        <f t="shared" si="44"/>
        <v>0.1657407378585008</v>
      </c>
      <c r="AG99" s="483" t="s">
        <v>947</v>
      </c>
      <c r="AH99" s="472">
        <v>0.25</v>
      </c>
      <c r="AI99" s="484" t="str">
        <f t="shared" si="89"/>
        <v>Trámites  Precontractuales y Contractuales Adelantados de conformidad con Plan de Adquisiciones</v>
      </c>
      <c r="AJ99" s="473">
        <v>79781745</v>
      </c>
      <c r="AK99" s="659">
        <f>(9/9)*AH99</f>
        <v>0.25</v>
      </c>
      <c r="AL99" s="660">
        <f>72281745</f>
        <v>72281745</v>
      </c>
      <c r="AM99" s="478">
        <f t="shared" si="45"/>
        <v>1</v>
      </c>
      <c r="AN99" s="478">
        <f t="shared" si="46"/>
        <v>0.90599353273107774</v>
      </c>
      <c r="AO99" s="478">
        <f t="shared" si="47"/>
        <v>0.49642857142857144</v>
      </c>
      <c r="AP99" s="478">
        <f t="shared" si="48"/>
        <v>0.4157407378585008</v>
      </c>
      <c r="AQ99" s="636" t="s">
        <v>1060</v>
      </c>
      <c r="AR99" s="472">
        <v>0.25</v>
      </c>
      <c r="AS99" s="484" t="str">
        <f t="shared" si="68"/>
        <v>Trámites  Precontractuales y Contractuales Adelantados de conformidad con Plan de Adquisiciones</v>
      </c>
      <c r="AT99" s="473">
        <v>79781745</v>
      </c>
      <c r="AU99" s="479"/>
      <c r="AV99" s="479"/>
      <c r="AW99" s="478">
        <f t="shared" si="49"/>
        <v>0</v>
      </c>
      <c r="AX99" s="478">
        <f t="shared" si="50"/>
        <v>0</v>
      </c>
      <c r="AY99" s="478">
        <f t="shared" si="51"/>
        <v>0.49642857142857144</v>
      </c>
      <c r="AZ99" s="478">
        <f t="shared" si="52"/>
        <v>0.4157407378585008</v>
      </c>
      <c r="BA99" s="478"/>
      <c r="BB99" s="472">
        <v>0.25</v>
      </c>
      <c r="BC99" s="484" t="str">
        <f t="shared" si="69"/>
        <v>Trámites  Precontractuales y Contractuales Adelantados de conformidad con Plan de Adquisiciones</v>
      </c>
      <c r="BD99" s="473">
        <v>79781745</v>
      </c>
      <c r="BE99" s="479"/>
      <c r="BF99" s="479"/>
      <c r="BG99" s="472">
        <f t="shared" si="64"/>
        <v>0</v>
      </c>
      <c r="BH99" s="472">
        <f t="shared" si="65"/>
        <v>0</v>
      </c>
      <c r="BI99" s="472">
        <f t="shared" si="66"/>
        <v>0.49642857142857144</v>
      </c>
      <c r="BJ99" s="472">
        <f t="shared" si="67"/>
        <v>0.4157407378585008</v>
      </c>
      <c r="BK99" s="472"/>
      <c r="BL99" s="533">
        <f t="shared" si="53"/>
        <v>0.98571428571428577</v>
      </c>
      <c r="BM99" s="533">
        <f t="shared" si="54"/>
        <v>0.66296295143400319</v>
      </c>
      <c r="BN99" s="533">
        <f t="shared" si="55"/>
        <v>1</v>
      </c>
      <c r="BO99" s="533">
        <f t="shared" si="56"/>
        <v>0.90599353273107774</v>
      </c>
      <c r="BP99" s="533">
        <f t="shared" si="57"/>
        <v>0</v>
      </c>
      <c r="BQ99" s="533">
        <f t="shared" si="58"/>
        <v>0</v>
      </c>
      <c r="BR99" s="533">
        <f t="shared" si="59"/>
        <v>0</v>
      </c>
      <c r="BS99" s="533">
        <f t="shared" si="60"/>
        <v>0</v>
      </c>
      <c r="BT99" s="480">
        <f t="shared" si="61"/>
        <v>0.58333333333333337</v>
      </c>
      <c r="BU99" s="481" t="str">
        <f>+U99</f>
        <v>Trámites  Precontractuales y Contractuales Adelantados de conformidad con Plan de Adquisiciones</v>
      </c>
      <c r="BV99" s="482">
        <f t="shared" si="40"/>
        <v>178657405</v>
      </c>
      <c r="BW99" s="479"/>
      <c r="BX99" s="479"/>
      <c r="BY99" s="479"/>
      <c r="BZ99" s="479"/>
      <c r="CA99" s="479"/>
      <c r="CB99" s="479"/>
      <c r="CC99" s="479"/>
    </row>
    <row r="100" spans="1:81" s="428" customFormat="1" ht="114.75" x14ac:dyDescent="0.25">
      <c r="A100" s="468">
        <v>11700</v>
      </c>
      <c r="B100" s="469" t="s">
        <v>29</v>
      </c>
      <c r="C100" s="470" t="s">
        <v>328</v>
      </c>
      <c r="D100" s="469" t="s">
        <v>256</v>
      </c>
      <c r="E100" s="470" t="s">
        <v>401</v>
      </c>
      <c r="F100" s="469" t="s">
        <v>563</v>
      </c>
      <c r="G100" s="471" t="s">
        <v>123</v>
      </c>
      <c r="H100" s="472">
        <v>1</v>
      </c>
      <c r="I100" s="470" t="s">
        <v>404</v>
      </c>
      <c r="J100" s="469" t="s">
        <v>564</v>
      </c>
      <c r="K100" s="473">
        <v>0</v>
      </c>
      <c r="L100" s="474">
        <v>1</v>
      </c>
      <c r="M100" s="469" t="s">
        <v>51</v>
      </c>
      <c r="N100" s="469" t="s">
        <v>56</v>
      </c>
      <c r="O100" s="469" t="s">
        <v>37</v>
      </c>
      <c r="P100" s="469" t="s">
        <v>40</v>
      </c>
      <c r="Q100" s="469" t="s">
        <v>217</v>
      </c>
      <c r="R100" s="469" t="s">
        <v>939</v>
      </c>
      <c r="S100" s="469" t="s">
        <v>111</v>
      </c>
      <c r="T100" s="474">
        <v>1</v>
      </c>
      <c r="U100" s="475" t="str">
        <f t="shared" si="62"/>
        <v xml:space="preserve">No de Actos de cierre y/ o liquidaciones elaboradas / No. De Contratos terminados. </v>
      </c>
      <c r="V100" s="476">
        <f t="shared" si="63"/>
        <v>0</v>
      </c>
      <c r="W100" s="477" t="s">
        <v>117</v>
      </c>
      <c r="X100" s="472">
        <v>0.25</v>
      </c>
      <c r="Y100" s="484" t="str">
        <f t="shared" si="88"/>
        <v xml:space="preserve">No de Actos de cierre y/ o liquidaciones elaboradas / No. De Contratos terminados. </v>
      </c>
      <c r="Z100" s="473">
        <v>0</v>
      </c>
      <c r="AA100" s="569">
        <f>(48/58)*X100</f>
        <v>0.20689655172413793</v>
      </c>
      <c r="AB100" s="473">
        <v>0</v>
      </c>
      <c r="AC100" s="478">
        <f t="shared" si="41"/>
        <v>0.82758620689655171</v>
      </c>
      <c r="AD100" s="478" t="e">
        <f t="shared" si="42"/>
        <v>#DIV/0!</v>
      </c>
      <c r="AE100" s="478">
        <f t="shared" si="43"/>
        <v>0.20689655172413793</v>
      </c>
      <c r="AF100" s="478" t="e">
        <f t="shared" si="44"/>
        <v>#DIV/0!</v>
      </c>
      <c r="AG100" s="483" t="s">
        <v>989</v>
      </c>
      <c r="AH100" s="472">
        <v>0.25</v>
      </c>
      <c r="AI100" s="484" t="str">
        <f t="shared" si="89"/>
        <v xml:space="preserve">No de Actos de cierre y/ o liquidaciones elaboradas / No. De Contratos terminados. </v>
      </c>
      <c r="AJ100" s="473">
        <v>0</v>
      </c>
      <c r="AK100" s="659">
        <f>(57/61)*AH100</f>
        <v>0.23360655737704919</v>
      </c>
      <c r="AL100" s="661">
        <v>0</v>
      </c>
      <c r="AM100" s="478">
        <f t="shared" si="45"/>
        <v>0.93442622950819676</v>
      </c>
      <c r="AN100" s="478" t="e">
        <f t="shared" si="46"/>
        <v>#DIV/0!</v>
      </c>
      <c r="AO100" s="478">
        <f t="shared" si="47"/>
        <v>0.44050310910118712</v>
      </c>
      <c r="AP100" s="478" t="e">
        <f t="shared" si="48"/>
        <v>#DIV/0!</v>
      </c>
      <c r="AQ100" s="636" t="s">
        <v>1167</v>
      </c>
      <c r="AR100" s="472">
        <v>0.25</v>
      </c>
      <c r="AS100" s="484" t="str">
        <f t="shared" si="68"/>
        <v xml:space="preserve">No de Actos de cierre y/ o liquidaciones elaboradas / No. De Contratos terminados. </v>
      </c>
      <c r="AT100" s="473">
        <v>0</v>
      </c>
      <c r="AU100" s="479"/>
      <c r="AV100" s="479"/>
      <c r="AW100" s="478">
        <f t="shared" si="49"/>
        <v>0</v>
      </c>
      <c r="AX100" s="478" t="e">
        <f t="shared" si="50"/>
        <v>#DIV/0!</v>
      </c>
      <c r="AY100" s="478">
        <f t="shared" si="51"/>
        <v>0.44050310910118712</v>
      </c>
      <c r="AZ100" s="478" t="e">
        <f t="shared" si="52"/>
        <v>#DIV/0!</v>
      </c>
      <c r="BA100" s="478"/>
      <c r="BB100" s="472">
        <v>0.25</v>
      </c>
      <c r="BC100" s="484" t="str">
        <f t="shared" si="69"/>
        <v xml:space="preserve">No de Actos de cierre y/ o liquidaciones elaboradas / No. De Contratos terminados. </v>
      </c>
      <c r="BD100" s="473">
        <v>0</v>
      </c>
      <c r="BE100" s="479"/>
      <c r="BF100" s="479"/>
      <c r="BG100" s="472">
        <f t="shared" si="64"/>
        <v>0</v>
      </c>
      <c r="BH100" s="472" t="e">
        <f t="shared" si="65"/>
        <v>#DIV/0!</v>
      </c>
      <c r="BI100" s="472">
        <f t="shared" si="66"/>
        <v>0.44050310910118712</v>
      </c>
      <c r="BJ100" s="472" t="e">
        <f t="shared" si="67"/>
        <v>#DIV/0!</v>
      </c>
      <c r="BK100" s="472"/>
      <c r="BL100" s="533">
        <f t="shared" si="53"/>
        <v>0.82758620689655171</v>
      </c>
      <c r="BM100" s="533" t="str">
        <f t="shared" si="54"/>
        <v>No Prog ni Ejec</v>
      </c>
      <c r="BN100" s="533">
        <f t="shared" si="55"/>
        <v>0.93442622950819676</v>
      </c>
      <c r="BO100" s="533" t="str">
        <f t="shared" si="56"/>
        <v>No Prog ni Ejec</v>
      </c>
      <c r="BP100" s="533">
        <f t="shared" si="57"/>
        <v>0</v>
      </c>
      <c r="BQ100" s="533" t="str">
        <f t="shared" si="58"/>
        <v>No Prog ni Ejec</v>
      </c>
      <c r="BR100" s="533">
        <f t="shared" si="59"/>
        <v>0</v>
      </c>
      <c r="BS100" s="533" t="str">
        <f t="shared" si="60"/>
        <v>No Prog ni Ejec</v>
      </c>
      <c r="BT100" s="480">
        <f t="shared" si="61"/>
        <v>0.58333333333333337</v>
      </c>
      <c r="BU100" s="481" t="str">
        <f t="shared" si="87"/>
        <v xml:space="preserve">No de Actos de cierre y/ o liquidaciones elaboradas / No. De Contratos terminados. </v>
      </c>
      <c r="BV100" s="482">
        <f t="shared" si="40"/>
        <v>0</v>
      </c>
      <c r="BW100" s="479"/>
      <c r="BX100" s="479"/>
      <c r="BY100" s="479"/>
      <c r="BZ100" s="479"/>
      <c r="CA100" s="479"/>
      <c r="CB100" s="479"/>
      <c r="CC100" s="479"/>
    </row>
    <row r="101" spans="1:81" s="428" customFormat="1" ht="267.75" x14ac:dyDescent="0.25">
      <c r="A101" s="468">
        <v>11700</v>
      </c>
      <c r="B101" s="469" t="s">
        <v>29</v>
      </c>
      <c r="C101" s="470" t="s">
        <v>328</v>
      </c>
      <c r="D101" s="469" t="s">
        <v>256</v>
      </c>
      <c r="E101" s="470" t="s">
        <v>407</v>
      </c>
      <c r="F101" s="469" t="s">
        <v>661</v>
      </c>
      <c r="G101" s="471" t="s">
        <v>123</v>
      </c>
      <c r="H101" s="472">
        <v>1</v>
      </c>
      <c r="I101" s="470" t="s">
        <v>409</v>
      </c>
      <c r="J101" s="469" t="s">
        <v>940</v>
      </c>
      <c r="K101" s="473">
        <v>400000000</v>
      </c>
      <c r="L101" s="474">
        <v>1</v>
      </c>
      <c r="M101" s="469" t="s">
        <v>45</v>
      </c>
      <c r="N101" s="469" t="s">
        <v>54</v>
      </c>
      <c r="O101" s="469" t="s">
        <v>37</v>
      </c>
      <c r="P101" s="469" t="s">
        <v>38</v>
      </c>
      <c r="Q101" s="469" t="s">
        <v>218</v>
      </c>
      <c r="R101" s="469" t="s">
        <v>664</v>
      </c>
      <c r="S101" s="469" t="s">
        <v>104</v>
      </c>
      <c r="T101" s="502">
        <v>9</v>
      </c>
      <c r="U101" s="475" t="str">
        <f t="shared" si="62"/>
        <v>Realizar capacitación para fortalecer las competencias laborales de los funcionarios</v>
      </c>
      <c r="V101" s="476">
        <f t="shared" si="63"/>
        <v>400000000</v>
      </c>
      <c r="W101" s="477" t="s">
        <v>114</v>
      </c>
      <c r="X101" s="501">
        <v>3</v>
      </c>
      <c r="Y101" s="484" t="str">
        <f t="shared" si="88"/>
        <v>Realizar capacitación para fortalecer las competencias laborales de los funcionarios</v>
      </c>
      <c r="Z101" s="473">
        <v>100000000</v>
      </c>
      <c r="AA101" s="471">
        <v>4</v>
      </c>
      <c r="AB101" s="524">
        <v>0</v>
      </c>
      <c r="AC101" s="478">
        <f t="shared" si="41"/>
        <v>1.3333333333333333</v>
      </c>
      <c r="AD101" s="478">
        <f t="shared" si="42"/>
        <v>0</v>
      </c>
      <c r="AE101" s="478">
        <f t="shared" si="43"/>
        <v>0.44444444444444442</v>
      </c>
      <c r="AF101" s="478">
        <f t="shared" si="44"/>
        <v>0</v>
      </c>
      <c r="AG101" s="483" t="s">
        <v>990</v>
      </c>
      <c r="AH101" s="501">
        <v>2</v>
      </c>
      <c r="AI101" s="484" t="str">
        <f t="shared" si="89"/>
        <v>Realizar capacitación para fortalecer las competencias laborales de los funcionarios</v>
      </c>
      <c r="AJ101" s="473">
        <v>100000000</v>
      </c>
      <c r="AK101" s="621">
        <v>8</v>
      </c>
      <c r="AL101" s="648">
        <v>0</v>
      </c>
      <c r="AM101" s="478">
        <f t="shared" si="45"/>
        <v>4</v>
      </c>
      <c r="AN101" s="478">
        <f t="shared" si="46"/>
        <v>0</v>
      </c>
      <c r="AO101" s="478">
        <f t="shared" si="47"/>
        <v>1.3333333333333333</v>
      </c>
      <c r="AP101" s="478">
        <f t="shared" si="48"/>
        <v>0</v>
      </c>
      <c r="AQ101" s="619" t="s">
        <v>1168</v>
      </c>
      <c r="AR101" s="501">
        <v>2</v>
      </c>
      <c r="AS101" s="484" t="str">
        <f t="shared" si="68"/>
        <v>Realizar capacitación para fortalecer las competencias laborales de los funcionarios</v>
      </c>
      <c r="AT101" s="473">
        <v>100000000</v>
      </c>
      <c r="AU101" s="471"/>
      <c r="AV101" s="524"/>
      <c r="AW101" s="478">
        <f t="shared" si="49"/>
        <v>0</v>
      </c>
      <c r="AX101" s="478">
        <f t="shared" si="50"/>
        <v>0</v>
      </c>
      <c r="AY101" s="478">
        <f t="shared" si="51"/>
        <v>1.3333333333333333</v>
      </c>
      <c r="AZ101" s="478">
        <f t="shared" si="52"/>
        <v>0</v>
      </c>
      <c r="BA101" s="478"/>
      <c r="BB101" s="501">
        <v>2</v>
      </c>
      <c r="BC101" s="484" t="str">
        <f t="shared" si="69"/>
        <v>Realizar capacitación para fortalecer las competencias laborales de los funcionarios</v>
      </c>
      <c r="BD101" s="473">
        <v>100000000</v>
      </c>
      <c r="BE101" s="479"/>
      <c r="BF101" s="479"/>
      <c r="BG101" s="472">
        <f t="shared" si="64"/>
        <v>0</v>
      </c>
      <c r="BH101" s="472">
        <f t="shared" si="65"/>
        <v>0</v>
      </c>
      <c r="BI101" s="472">
        <f t="shared" si="66"/>
        <v>1.3333333333333333</v>
      </c>
      <c r="BJ101" s="472">
        <f t="shared" si="67"/>
        <v>0</v>
      </c>
      <c r="BK101" s="472"/>
      <c r="BL101" s="533">
        <f t="shared" si="53"/>
        <v>1.3333333333333333</v>
      </c>
      <c r="BM101" s="533">
        <f t="shared" si="54"/>
        <v>0</v>
      </c>
      <c r="BN101" s="533">
        <f t="shared" si="55"/>
        <v>4</v>
      </c>
      <c r="BO101" s="533">
        <f t="shared" si="56"/>
        <v>0</v>
      </c>
      <c r="BP101" s="533">
        <f t="shared" si="57"/>
        <v>0</v>
      </c>
      <c r="BQ101" s="533">
        <f t="shared" si="58"/>
        <v>0</v>
      </c>
      <c r="BR101" s="533">
        <f t="shared" si="59"/>
        <v>0</v>
      </c>
      <c r="BS101" s="533">
        <f t="shared" si="60"/>
        <v>0</v>
      </c>
      <c r="BT101" s="507">
        <f>+(X101+AH101+(AR101/3))</f>
        <v>5.666666666666667</v>
      </c>
      <c r="BU101" s="481" t="str">
        <f t="shared" si="87"/>
        <v>Realizar capacitación para fortalecer las competencias laborales de los funcionarios</v>
      </c>
      <c r="BV101" s="482">
        <f t="shared" si="40"/>
        <v>233333333.33333334</v>
      </c>
      <c r="BW101" s="479"/>
      <c r="BX101" s="479"/>
      <c r="BY101" s="479"/>
      <c r="BZ101" s="479"/>
      <c r="CA101" s="479"/>
      <c r="CB101" s="479"/>
      <c r="CC101" s="479"/>
    </row>
    <row r="102" spans="1:81" s="428" customFormat="1" ht="191.25" x14ac:dyDescent="0.25">
      <c r="A102" s="468">
        <v>11700</v>
      </c>
      <c r="B102" s="469" t="s">
        <v>29</v>
      </c>
      <c r="C102" s="470" t="s">
        <v>328</v>
      </c>
      <c r="D102" s="469" t="s">
        <v>256</v>
      </c>
      <c r="E102" s="470" t="s">
        <v>407</v>
      </c>
      <c r="F102" s="469" t="s">
        <v>662</v>
      </c>
      <c r="G102" s="471" t="s">
        <v>123</v>
      </c>
      <c r="H102" s="472">
        <v>1</v>
      </c>
      <c r="I102" s="470" t="s">
        <v>629</v>
      </c>
      <c r="J102" s="469" t="s">
        <v>663</v>
      </c>
      <c r="K102" s="473">
        <f>400000000+50000000</f>
        <v>450000000</v>
      </c>
      <c r="L102" s="474">
        <v>1</v>
      </c>
      <c r="M102" s="469" t="s">
        <v>45</v>
      </c>
      <c r="N102" s="469" t="s">
        <v>54</v>
      </c>
      <c r="O102" s="469" t="s">
        <v>37</v>
      </c>
      <c r="P102" s="469" t="s">
        <v>38</v>
      </c>
      <c r="Q102" s="469" t="s">
        <v>218</v>
      </c>
      <c r="R102" s="469" t="s">
        <v>411</v>
      </c>
      <c r="S102" s="469" t="s">
        <v>104</v>
      </c>
      <c r="T102" s="474">
        <v>1</v>
      </c>
      <c r="U102" s="475" t="str">
        <f t="shared" si="62"/>
        <v>Realizar actividades para fortalecer la calidad de vida de los servidores públicos de la entidad, así como el clima organizacional</v>
      </c>
      <c r="V102" s="476">
        <f t="shared" si="63"/>
        <v>450000000</v>
      </c>
      <c r="W102" s="477" t="s">
        <v>114</v>
      </c>
      <c r="X102" s="472">
        <v>0.25</v>
      </c>
      <c r="Y102" s="484" t="str">
        <f t="shared" si="88"/>
        <v>Realizar actividades para fortalecer la calidad de vida de los servidores públicos de la entidad, así como el clima organizacional</v>
      </c>
      <c r="Z102" s="473">
        <f>K102*X102</f>
        <v>112500000</v>
      </c>
      <c r="AA102" s="525">
        <v>0.24</v>
      </c>
      <c r="AB102" s="524">
        <v>0</v>
      </c>
      <c r="AC102" s="478">
        <f t="shared" si="41"/>
        <v>0.96</v>
      </c>
      <c r="AD102" s="478">
        <f t="shared" si="42"/>
        <v>0</v>
      </c>
      <c r="AE102" s="478">
        <f t="shared" si="43"/>
        <v>0.24</v>
      </c>
      <c r="AF102" s="478">
        <f t="shared" si="44"/>
        <v>0</v>
      </c>
      <c r="AG102" s="483" t="s">
        <v>991</v>
      </c>
      <c r="AH102" s="472">
        <v>0.25</v>
      </c>
      <c r="AI102" s="484" t="str">
        <f t="shared" si="89"/>
        <v>Realizar actividades para fortalecer la calidad de vida de los servidores públicos de la entidad, así como el clima organizacional</v>
      </c>
      <c r="AJ102" s="473">
        <v>112500000</v>
      </c>
      <c r="AK102" s="612">
        <f>(25.5/36)*AH102</f>
        <v>0.17708333333333334</v>
      </c>
      <c r="AL102" s="648">
        <v>0</v>
      </c>
      <c r="AM102" s="478">
        <f t="shared" si="45"/>
        <v>0.70833333333333337</v>
      </c>
      <c r="AN102" s="478">
        <f t="shared" si="46"/>
        <v>0</v>
      </c>
      <c r="AO102" s="478">
        <f t="shared" si="47"/>
        <v>0.41708333333333336</v>
      </c>
      <c r="AP102" s="478">
        <f t="shared" si="48"/>
        <v>0</v>
      </c>
      <c r="AQ102" s="619" t="s">
        <v>1169</v>
      </c>
      <c r="AR102" s="472">
        <v>0.25</v>
      </c>
      <c r="AS102" s="484" t="str">
        <f t="shared" si="68"/>
        <v>Realizar actividades para fortalecer la calidad de vida de los servidores públicos de la entidad, así como el clima organizacional</v>
      </c>
      <c r="AT102" s="473">
        <v>112500000</v>
      </c>
      <c r="AU102" s="525"/>
      <c r="AV102" s="524"/>
      <c r="AW102" s="478">
        <f t="shared" si="49"/>
        <v>0</v>
      </c>
      <c r="AX102" s="478">
        <f t="shared" si="50"/>
        <v>0</v>
      </c>
      <c r="AY102" s="478">
        <f t="shared" si="51"/>
        <v>0.41708333333333336</v>
      </c>
      <c r="AZ102" s="478">
        <f t="shared" si="52"/>
        <v>0</v>
      </c>
      <c r="BA102" s="478"/>
      <c r="BB102" s="472">
        <v>0.25</v>
      </c>
      <c r="BC102" s="484" t="str">
        <f t="shared" si="69"/>
        <v>Realizar actividades para fortalecer la calidad de vida de los servidores públicos de la entidad, así como el clima organizacional</v>
      </c>
      <c r="BD102" s="473">
        <v>112500000</v>
      </c>
      <c r="BE102" s="479"/>
      <c r="BF102" s="479"/>
      <c r="BG102" s="472">
        <f t="shared" si="64"/>
        <v>0</v>
      </c>
      <c r="BH102" s="472">
        <f t="shared" si="65"/>
        <v>0</v>
      </c>
      <c r="BI102" s="472">
        <f t="shared" si="66"/>
        <v>0.41708333333333336</v>
      </c>
      <c r="BJ102" s="472">
        <f t="shared" si="67"/>
        <v>0</v>
      </c>
      <c r="BK102" s="472"/>
      <c r="BL102" s="533">
        <f t="shared" si="53"/>
        <v>0.96</v>
      </c>
      <c r="BM102" s="533">
        <f t="shared" si="54"/>
        <v>0</v>
      </c>
      <c r="BN102" s="533">
        <f t="shared" si="55"/>
        <v>0.70833333333333337</v>
      </c>
      <c r="BO102" s="533">
        <f t="shared" si="56"/>
        <v>0</v>
      </c>
      <c r="BP102" s="533">
        <f t="shared" si="57"/>
        <v>0</v>
      </c>
      <c r="BQ102" s="533">
        <f t="shared" si="58"/>
        <v>0</v>
      </c>
      <c r="BR102" s="533">
        <f t="shared" si="59"/>
        <v>0</v>
      </c>
      <c r="BS102" s="533">
        <f t="shared" si="60"/>
        <v>0</v>
      </c>
      <c r="BT102" s="480">
        <f t="shared" si="61"/>
        <v>0.58333333333333337</v>
      </c>
      <c r="BU102" s="481" t="str">
        <f t="shared" si="87"/>
        <v>Realizar actividades para fortalecer la calidad de vida de los servidores públicos de la entidad, así como el clima organizacional</v>
      </c>
      <c r="BV102" s="482">
        <f t="shared" si="40"/>
        <v>262500000</v>
      </c>
      <c r="BW102" s="479"/>
      <c r="BX102" s="479"/>
      <c r="BY102" s="479"/>
      <c r="BZ102" s="479"/>
      <c r="CA102" s="479"/>
      <c r="CB102" s="479"/>
      <c r="CC102" s="479"/>
    </row>
    <row r="103" spans="1:81" s="428" customFormat="1" ht="102" x14ac:dyDescent="0.25">
      <c r="A103" s="468">
        <v>11700</v>
      </c>
      <c r="B103" s="469" t="s">
        <v>29</v>
      </c>
      <c r="C103" s="470" t="s">
        <v>328</v>
      </c>
      <c r="D103" s="469" t="s">
        <v>256</v>
      </c>
      <c r="E103" s="470" t="s">
        <v>412</v>
      </c>
      <c r="F103" s="469" t="s">
        <v>413</v>
      </c>
      <c r="G103" s="471" t="s">
        <v>123</v>
      </c>
      <c r="H103" s="472">
        <v>1</v>
      </c>
      <c r="I103" s="470" t="s">
        <v>416</v>
      </c>
      <c r="J103" s="469" t="s">
        <v>1180</v>
      </c>
      <c r="K103" s="473">
        <f>6000000+1990560</f>
        <v>7990560</v>
      </c>
      <c r="L103" s="474">
        <v>1</v>
      </c>
      <c r="M103" s="469" t="s">
        <v>45</v>
      </c>
      <c r="N103" s="469" t="s">
        <v>54</v>
      </c>
      <c r="O103" s="469" t="s">
        <v>37</v>
      </c>
      <c r="P103" s="469" t="s">
        <v>38</v>
      </c>
      <c r="Q103" s="469" t="s">
        <v>218</v>
      </c>
      <c r="R103" s="469" t="s">
        <v>182</v>
      </c>
      <c r="S103" s="469" t="s">
        <v>104</v>
      </c>
      <c r="T103" s="474">
        <v>1</v>
      </c>
      <c r="U103" s="475" t="str">
        <f t="shared" si="62"/>
        <v>Realización de Exámenes de Salud Ocupacional (pre-ocupacionales, exámenes médicos post-ocupacionales)</v>
      </c>
      <c r="V103" s="476">
        <f t="shared" si="63"/>
        <v>7990560</v>
      </c>
      <c r="W103" s="477" t="s">
        <v>114</v>
      </c>
      <c r="X103" s="472">
        <v>0.25</v>
      </c>
      <c r="Y103" s="484" t="str">
        <f t="shared" si="88"/>
        <v>Realización de Exámenes de Salud Ocupacional (pre-ocupacionales, exámenes médicos post-ocupacionales)</v>
      </c>
      <c r="Z103" s="473">
        <f>+K103*X103</f>
        <v>1997640</v>
      </c>
      <c r="AA103" s="570">
        <f>(AB103/Z103)*25%</f>
        <v>8.2317134218377691E-2</v>
      </c>
      <c r="AB103" s="524">
        <v>657760</v>
      </c>
      <c r="AC103" s="478">
        <f t="shared" si="41"/>
        <v>0.32926853687351076</v>
      </c>
      <c r="AD103" s="478">
        <f t="shared" si="42"/>
        <v>0.32926853687351076</v>
      </c>
      <c r="AE103" s="478">
        <f t="shared" si="43"/>
        <v>8.2317134218377691E-2</v>
      </c>
      <c r="AF103" s="478">
        <f t="shared" si="44"/>
        <v>8.2317134218377691E-2</v>
      </c>
      <c r="AG103" s="483" t="s">
        <v>992</v>
      </c>
      <c r="AH103" s="472">
        <v>0.25</v>
      </c>
      <c r="AI103" s="484" t="str">
        <f t="shared" si="89"/>
        <v>Realización de Exámenes de Salud Ocupacional (pre-ocupacionales, exámenes médicos post-ocupacionales)</v>
      </c>
      <c r="AJ103" s="473">
        <v>1997640</v>
      </c>
      <c r="AK103" s="657">
        <f>(AL103/AJ103)*AH103</f>
        <v>0.1480496986444004</v>
      </c>
      <c r="AL103" s="662">
        <v>1183000</v>
      </c>
      <c r="AM103" s="478">
        <f t="shared" si="45"/>
        <v>0.59219879457760161</v>
      </c>
      <c r="AN103" s="478">
        <f t="shared" si="46"/>
        <v>0.59219879457760161</v>
      </c>
      <c r="AO103" s="478">
        <f t="shared" si="47"/>
        <v>0.23036683286277809</v>
      </c>
      <c r="AP103" s="478">
        <f t="shared" si="48"/>
        <v>0.23036683286277806</v>
      </c>
      <c r="AQ103" s="620"/>
      <c r="AR103" s="472">
        <v>0.25</v>
      </c>
      <c r="AS103" s="484" t="str">
        <f t="shared" si="68"/>
        <v>Realización de Exámenes de Salud Ocupacional (pre-ocupacionales, exámenes médicos post-ocupacionales)</v>
      </c>
      <c r="AT103" s="473">
        <v>1997640</v>
      </c>
      <c r="AU103" s="471"/>
      <c r="AV103" s="524"/>
      <c r="AW103" s="478">
        <f t="shared" si="49"/>
        <v>0</v>
      </c>
      <c r="AX103" s="478">
        <f t="shared" si="50"/>
        <v>0</v>
      </c>
      <c r="AY103" s="478">
        <f t="shared" si="51"/>
        <v>0.23036683286277809</v>
      </c>
      <c r="AZ103" s="478">
        <f t="shared" si="52"/>
        <v>0.23036683286277806</v>
      </c>
      <c r="BA103" s="478"/>
      <c r="BB103" s="472">
        <v>0.25</v>
      </c>
      <c r="BC103" s="484" t="str">
        <f t="shared" si="69"/>
        <v>Realización de Exámenes de Salud Ocupacional (pre-ocupacionales, exámenes médicos post-ocupacionales)</v>
      </c>
      <c r="BD103" s="473">
        <v>1997640</v>
      </c>
      <c r="BE103" s="479"/>
      <c r="BF103" s="479"/>
      <c r="BG103" s="472">
        <f t="shared" si="64"/>
        <v>0</v>
      </c>
      <c r="BH103" s="472">
        <f t="shared" si="65"/>
        <v>0</v>
      </c>
      <c r="BI103" s="472">
        <f t="shared" si="66"/>
        <v>0.23036683286277809</v>
      </c>
      <c r="BJ103" s="472">
        <f t="shared" si="67"/>
        <v>0.23036683286277806</v>
      </c>
      <c r="BK103" s="472"/>
      <c r="BL103" s="533">
        <f t="shared" si="53"/>
        <v>0.32926853687351076</v>
      </c>
      <c r="BM103" s="533">
        <f t="shared" si="54"/>
        <v>0.32926853687351076</v>
      </c>
      <c r="BN103" s="533">
        <f t="shared" si="55"/>
        <v>0.59219879457760161</v>
      </c>
      <c r="BO103" s="533">
        <f t="shared" si="56"/>
        <v>0.59219879457760161</v>
      </c>
      <c r="BP103" s="533">
        <f t="shared" si="57"/>
        <v>0</v>
      </c>
      <c r="BQ103" s="533">
        <f t="shared" si="58"/>
        <v>0</v>
      </c>
      <c r="BR103" s="533">
        <f t="shared" si="59"/>
        <v>0</v>
      </c>
      <c r="BS103" s="533">
        <f t="shared" si="60"/>
        <v>0</v>
      </c>
      <c r="BT103" s="480">
        <f t="shared" si="61"/>
        <v>0.58333333333333337</v>
      </c>
      <c r="BU103" s="481" t="str">
        <f t="shared" si="87"/>
        <v>Realización de Exámenes de Salud Ocupacional (pre-ocupacionales, exámenes médicos post-ocupacionales)</v>
      </c>
      <c r="BV103" s="482">
        <f t="shared" si="40"/>
        <v>4661160</v>
      </c>
      <c r="BW103" s="479"/>
      <c r="BX103" s="479"/>
      <c r="BY103" s="479"/>
      <c r="BZ103" s="479"/>
      <c r="CA103" s="479"/>
      <c r="CB103" s="479"/>
      <c r="CC103" s="479"/>
    </row>
    <row r="104" spans="1:81" s="428" customFormat="1" ht="89.25" x14ac:dyDescent="0.25">
      <c r="A104" s="468">
        <v>11700</v>
      </c>
      <c r="B104" s="469" t="s">
        <v>29</v>
      </c>
      <c r="C104" s="470" t="s">
        <v>328</v>
      </c>
      <c r="D104" s="469" t="s">
        <v>256</v>
      </c>
      <c r="E104" s="470" t="s">
        <v>414</v>
      </c>
      <c r="F104" s="469" t="s">
        <v>408</v>
      </c>
      <c r="G104" s="471" t="s">
        <v>124</v>
      </c>
      <c r="H104" s="470">
        <v>12</v>
      </c>
      <c r="I104" s="470" t="s">
        <v>415</v>
      </c>
      <c r="J104" s="469" t="s">
        <v>417</v>
      </c>
      <c r="K104" s="473">
        <v>62099999.999999993</v>
      </c>
      <c r="L104" s="474">
        <v>1</v>
      </c>
      <c r="M104" s="469" t="s">
        <v>45</v>
      </c>
      <c r="N104" s="469" t="s">
        <v>54</v>
      </c>
      <c r="O104" s="469" t="s">
        <v>37</v>
      </c>
      <c r="P104" s="469" t="s">
        <v>38</v>
      </c>
      <c r="Q104" s="469" t="s">
        <v>218</v>
      </c>
      <c r="R104" s="469" t="s">
        <v>658</v>
      </c>
      <c r="S104" s="469" t="s">
        <v>104</v>
      </c>
      <c r="T104" s="470">
        <v>12</v>
      </c>
      <c r="U104" s="475" t="str">
        <f t="shared" si="62"/>
        <v>Generar y Liquidar Nomina ADRES</v>
      </c>
      <c r="V104" s="476">
        <f t="shared" si="63"/>
        <v>62099999.999999993</v>
      </c>
      <c r="W104" s="477" t="s">
        <v>114</v>
      </c>
      <c r="X104" s="501">
        <v>3</v>
      </c>
      <c r="Y104" s="484" t="str">
        <f t="shared" si="88"/>
        <v>Generar y Liquidar Nomina ADRES</v>
      </c>
      <c r="Z104" s="473">
        <v>15524999.999999998</v>
      </c>
      <c r="AA104" s="471">
        <v>4</v>
      </c>
      <c r="AB104" s="524">
        <v>0</v>
      </c>
      <c r="AC104" s="478">
        <f t="shared" si="41"/>
        <v>1.3333333333333333</v>
      </c>
      <c r="AD104" s="478">
        <f t="shared" si="42"/>
        <v>0</v>
      </c>
      <c r="AE104" s="478">
        <f t="shared" si="43"/>
        <v>0.33333333333333331</v>
      </c>
      <c r="AF104" s="478">
        <f t="shared" si="44"/>
        <v>0</v>
      </c>
      <c r="AG104" s="483" t="s">
        <v>897</v>
      </c>
      <c r="AH104" s="501">
        <v>3</v>
      </c>
      <c r="AI104" s="484" t="str">
        <f t="shared" si="89"/>
        <v>Generar y Liquidar Nomina ADRES</v>
      </c>
      <c r="AJ104" s="473">
        <v>15524999.999999998</v>
      </c>
      <c r="AK104" s="658">
        <v>3</v>
      </c>
      <c r="AL104" s="648">
        <v>0</v>
      </c>
      <c r="AM104" s="478">
        <f t="shared" si="45"/>
        <v>1</v>
      </c>
      <c r="AN104" s="478">
        <f t="shared" si="46"/>
        <v>0</v>
      </c>
      <c r="AO104" s="478">
        <f t="shared" si="47"/>
        <v>0.58333333333333337</v>
      </c>
      <c r="AP104" s="478">
        <f t="shared" si="48"/>
        <v>0</v>
      </c>
      <c r="AQ104" s="663"/>
      <c r="AR104" s="501">
        <v>3</v>
      </c>
      <c r="AS104" s="484" t="str">
        <f t="shared" si="68"/>
        <v>Generar y Liquidar Nomina ADRES</v>
      </c>
      <c r="AT104" s="473">
        <v>15524999.999999998</v>
      </c>
      <c r="AU104" s="471"/>
      <c r="AV104" s="524"/>
      <c r="AW104" s="478">
        <f t="shared" si="49"/>
        <v>0</v>
      </c>
      <c r="AX104" s="478">
        <f t="shared" si="50"/>
        <v>0</v>
      </c>
      <c r="AY104" s="478">
        <f t="shared" si="51"/>
        <v>0.58333333333333337</v>
      </c>
      <c r="AZ104" s="478">
        <f t="shared" si="52"/>
        <v>0</v>
      </c>
      <c r="BA104" s="478"/>
      <c r="BB104" s="501">
        <v>3</v>
      </c>
      <c r="BC104" s="484" t="str">
        <f t="shared" si="69"/>
        <v>Generar y Liquidar Nomina ADRES</v>
      </c>
      <c r="BD104" s="473">
        <v>15524999.999999998</v>
      </c>
      <c r="BE104" s="479"/>
      <c r="BF104" s="479"/>
      <c r="BG104" s="472">
        <f t="shared" si="64"/>
        <v>0</v>
      </c>
      <c r="BH104" s="472">
        <f t="shared" si="65"/>
        <v>0</v>
      </c>
      <c r="BI104" s="472">
        <f t="shared" si="66"/>
        <v>0.58333333333333337</v>
      </c>
      <c r="BJ104" s="472">
        <f t="shared" si="67"/>
        <v>0</v>
      </c>
      <c r="BK104" s="472"/>
      <c r="BL104" s="533">
        <f t="shared" si="53"/>
        <v>1.3333333333333333</v>
      </c>
      <c r="BM104" s="533">
        <f t="shared" si="54"/>
        <v>0</v>
      </c>
      <c r="BN104" s="533">
        <f t="shared" si="55"/>
        <v>1</v>
      </c>
      <c r="BO104" s="533">
        <f t="shared" si="56"/>
        <v>0</v>
      </c>
      <c r="BP104" s="533">
        <f t="shared" si="57"/>
        <v>0</v>
      </c>
      <c r="BQ104" s="533">
        <f t="shared" si="58"/>
        <v>0</v>
      </c>
      <c r="BR104" s="533">
        <f t="shared" si="59"/>
        <v>0</v>
      </c>
      <c r="BS104" s="533">
        <f t="shared" si="60"/>
        <v>0</v>
      </c>
      <c r="BT104" s="507">
        <f t="shared" si="61"/>
        <v>7</v>
      </c>
      <c r="BU104" s="481" t="str">
        <f t="shared" si="87"/>
        <v>Generar y Liquidar Nomina ADRES</v>
      </c>
      <c r="BV104" s="482">
        <f t="shared" si="40"/>
        <v>36224999.999999993</v>
      </c>
      <c r="BW104" s="479"/>
      <c r="BX104" s="479"/>
      <c r="BY104" s="479"/>
      <c r="BZ104" s="479"/>
      <c r="CA104" s="479"/>
      <c r="CB104" s="479"/>
      <c r="CC104" s="479"/>
    </row>
    <row r="105" spans="1:81" s="428" customFormat="1" ht="127.5" x14ac:dyDescent="0.25">
      <c r="A105" s="468">
        <v>11700</v>
      </c>
      <c r="B105" s="469" t="s">
        <v>29</v>
      </c>
      <c r="C105" s="470" t="s">
        <v>328</v>
      </c>
      <c r="D105" s="469" t="s">
        <v>256</v>
      </c>
      <c r="E105" s="470" t="s">
        <v>418</v>
      </c>
      <c r="F105" s="469" t="s">
        <v>819</v>
      </c>
      <c r="G105" s="471" t="s">
        <v>659</v>
      </c>
      <c r="H105" s="472">
        <v>1</v>
      </c>
      <c r="I105" s="470" t="s">
        <v>420</v>
      </c>
      <c r="J105" s="469" t="s">
        <v>820</v>
      </c>
      <c r="K105" s="473">
        <v>0</v>
      </c>
      <c r="L105" s="474">
        <v>1</v>
      </c>
      <c r="M105" s="469" t="s">
        <v>45</v>
      </c>
      <c r="N105" s="469" t="s">
        <v>54</v>
      </c>
      <c r="O105" s="469" t="s">
        <v>37</v>
      </c>
      <c r="P105" s="469" t="s">
        <v>38</v>
      </c>
      <c r="Q105" s="469" t="s">
        <v>218</v>
      </c>
      <c r="R105" s="469" t="s">
        <v>822</v>
      </c>
      <c r="S105" s="469" t="s">
        <v>104</v>
      </c>
      <c r="T105" s="472">
        <v>1</v>
      </c>
      <c r="U105" s="475" t="str">
        <f t="shared" si="62"/>
        <v>Consolidar, organizar y actualizar los expedientes de hojas de vida de los funcionarios de planta de la ADRES</v>
      </c>
      <c r="V105" s="476">
        <f t="shared" si="63"/>
        <v>0</v>
      </c>
      <c r="W105" s="477" t="s">
        <v>114</v>
      </c>
      <c r="X105" s="472">
        <v>0.25</v>
      </c>
      <c r="Y105" s="484" t="str">
        <f t="shared" si="88"/>
        <v>Consolidar, organizar y actualizar los expedientes de hojas de vida de los funcionarios de planta de la ADRES</v>
      </c>
      <c r="Z105" s="473">
        <v>0</v>
      </c>
      <c r="AA105" s="525">
        <v>0.25</v>
      </c>
      <c r="AB105" s="524">
        <v>0</v>
      </c>
      <c r="AC105" s="478">
        <f t="shared" si="41"/>
        <v>1</v>
      </c>
      <c r="AD105" s="478" t="e">
        <f>+(AB105/Z105)</f>
        <v>#DIV/0!</v>
      </c>
      <c r="AE105" s="478">
        <f t="shared" si="43"/>
        <v>0.25</v>
      </c>
      <c r="AF105" s="478" t="e">
        <f>+(AB105/V105)</f>
        <v>#DIV/0!</v>
      </c>
      <c r="AG105" s="483" t="s">
        <v>993</v>
      </c>
      <c r="AH105" s="472">
        <v>0.25</v>
      </c>
      <c r="AI105" s="484" t="str">
        <f t="shared" si="89"/>
        <v>Consolidar, organizar y actualizar los expedientes de hojas de vida de los funcionarios de planta de la ADRES</v>
      </c>
      <c r="AJ105" s="473">
        <v>0</v>
      </c>
      <c r="AK105" s="612">
        <f>(45/180)*AH105</f>
        <v>6.25E-2</v>
      </c>
      <c r="AL105" s="648">
        <v>0</v>
      </c>
      <c r="AM105" s="478">
        <f>+(AK105/AH105)</f>
        <v>0.25</v>
      </c>
      <c r="AN105" s="478" t="e">
        <f t="shared" si="46"/>
        <v>#DIV/0!</v>
      </c>
      <c r="AO105" s="478">
        <f t="shared" si="47"/>
        <v>0.3125</v>
      </c>
      <c r="AP105" s="478" t="e">
        <f t="shared" si="48"/>
        <v>#DIV/0!</v>
      </c>
      <c r="AQ105" s="619" t="s">
        <v>1170</v>
      </c>
      <c r="AR105" s="472">
        <v>0.25</v>
      </c>
      <c r="AS105" s="484" t="str">
        <f t="shared" si="68"/>
        <v>Consolidar, organizar y actualizar los expedientes de hojas de vida de los funcionarios de planta de la ADRES</v>
      </c>
      <c r="AT105" s="473">
        <v>0</v>
      </c>
      <c r="AU105" s="525"/>
      <c r="AV105" s="524"/>
      <c r="AW105" s="478">
        <f t="shared" si="49"/>
        <v>0</v>
      </c>
      <c r="AX105" s="478" t="e">
        <f>+(AV105/AT105)</f>
        <v>#DIV/0!</v>
      </c>
      <c r="AY105" s="478">
        <f t="shared" si="51"/>
        <v>0.3125</v>
      </c>
      <c r="AZ105" s="478" t="e">
        <f t="shared" si="52"/>
        <v>#DIV/0!</v>
      </c>
      <c r="BA105" s="478"/>
      <c r="BB105" s="472">
        <v>0.25</v>
      </c>
      <c r="BC105" s="484" t="str">
        <f t="shared" si="69"/>
        <v>Consolidar, organizar y actualizar los expedientes de hojas de vida de los funcionarios de planta de la ADRES</v>
      </c>
      <c r="BD105" s="473">
        <v>0</v>
      </c>
      <c r="BE105" s="479"/>
      <c r="BF105" s="479"/>
      <c r="BG105" s="472">
        <f t="shared" si="64"/>
        <v>0</v>
      </c>
      <c r="BH105" s="472" t="e">
        <f t="shared" si="65"/>
        <v>#DIV/0!</v>
      </c>
      <c r="BI105" s="472">
        <f t="shared" si="66"/>
        <v>0.3125</v>
      </c>
      <c r="BJ105" s="472" t="e">
        <f t="shared" si="67"/>
        <v>#DIV/0!</v>
      </c>
      <c r="BK105" s="472"/>
      <c r="BL105" s="533">
        <f t="shared" si="53"/>
        <v>1</v>
      </c>
      <c r="BM105" s="533" t="str">
        <f t="shared" si="54"/>
        <v>No Prog ni Ejec</v>
      </c>
      <c r="BN105" s="533">
        <f t="shared" si="55"/>
        <v>0.25</v>
      </c>
      <c r="BO105" s="533" t="str">
        <f t="shared" si="56"/>
        <v>No Prog ni Ejec</v>
      </c>
      <c r="BP105" s="533">
        <f t="shared" si="57"/>
        <v>0</v>
      </c>
      <c r="BQ105" s="533" t="str">
        <f t="shared" si="58"/>
        <v>No Prog ni Ejec</v>
      </c>
      <c r="BR105" s="533">
        <f t="shared" si="59"/>
        <v>0</v>
      </c>
      <c r="BS105" s="533" t="str">
        <f t="shared" si="60"/>
        <v>No Prog ni Ejec</v>
      </c>
      <c r="BT105" s="480">
        <f t="shared" si="61"/>
        <v>0.58333333333333337</v>
      </c>
      <c r="BU105" s="481" t="str">
        <f t="shared" si="87"/>
        <v>Consolidar, organizar y actualizar los expedientes de hojas de vida de los funcionarios de planta de la ADRES</v>
      </c>
      <c r="BV105" s="482">
        <f t="shared" si="40"/>
        <v>0</v>
      </c>
      <c r="BW105" s="479"/>
      <c r="BX105" s="479"/>
      <c r="BY105" s="479"/>
      <c r="BZ105" s="479"/>
      <c r="CA105" s="479"/>
      <c r="CB105" s="479"/>
      <c r="CC105" s="479"/>
    </row>
    <row r="106" spans="1:81" s="428" customFormat="1" ht="89.25" x14ac:dyDescent="0.25">
      <c r="A106" s="468">
        <v>11700</v>
      </c>
      <c r="B106" s="469" t="s">
        <v>29</v>
      </c>
      <c r="C106" s="470" t="s">
        <v>328</v>
      </c>
      <c r="D106" s="469" t="s">
        <v>256</v>
      </c>
      <c r="E106" s="470" t="s">
        <v>418</v>
      </c>
      <c r="F106" s="469" t="s">
        <v>419</v>
      </c>
      <c r="G106" s="471" t="s">
        <v>659</v>
      </c>
      <c r="H106" s="472">
        <v>1</v>
      </c>
      <c r="I106" s="470" t="s">
        <v>630</v>
      </c>
      <c r="J106" s="469" t="s">
        <v>421</v>
      </c>
      <c r="K106" s="473">
        <v>0</v>
      </c>
      <c r="L106" s="474">
        <v>1</v>
      </c>
      <c r="M106" s="469" t="s">
        <v>45</v>
      </c>
      <c r="N106" s="469" t="s">
        <v>54</v>
      </c>
      <c r="O106" s="469" t="s">
        <v>37</v>
      </c>
      <c r="P106" s="469" t="s">
        <v>38</v>
      </c>
      <c r="Q106" s="469" t="s">
        <v>218</v>
      </c>
      <c r="R106" s="469" t="s">
        <v>883</v>
      </c>
      <c r="S106" s="469" t="s">
        <v>104</v>
      </c>
      <c r="T106" s="472">
        <v>1</v>
      </c>
      <c r="U106" s="475" t="str">
        <f t="shared" si="62"/>
        <v>Expedición de Certificaciones de Personal</v>
      </c>
      <c r="V106" s="476">
        <f t="shared" si="63"/>
        <v>0</v>
      </c>
      <c r="W106" s="477" t="s">
        <v>114</v>
      </c>
      <c r="X106" s="472">
        <v>0.25</v>
      </c>
      <c r="Y106" s="484" t="str">
        <f t="shared" si="88"/>
        <v>Expedición de Certificaciones de Personal</v>
      </c>
      <c r="Z106" s="473">
        <v>0</v>
      </c>
      <c r="AA106" s="525">
        <v>0.22500000000000001</v>
      </c>
      <c r="AB106" s="524">
        <v>0</v>
      </c>
      <c r="AC106" s="478">
        <f t="shared" si="41"/>
        <v>0.9</v>
      </c>
      <c r="AD106" s="478" t="e">
        <f t="shared" si="42"/>
        <v>#DIV/0!</v>
      </c>
      <c r="AE106" s="478">
        <f t="shared" si="43"/>
        <v>0.22500000000000001</v>
      </c>
      <c r="AF106" s="478" t="e">
        <f t="shared" si="44"/>
        <v>#DIV/0!</v>
      </c>
      <c r="AG106" s="483" t="s">
        <v>898</v>
      </c>
      <c r="AH106" s="472">
        <v>0.25</v>
      </c>
      <c r="AI106" s="484" t="str">
        <f t="shared" si="89"/>
        <v>Expedición de Certificaciones de Personal</v>
      </c>
      <c r="AJ106" s="473">
        <v>0</v>
      </c>
      <c r="AK106" s="612">
        <f>(107/107)*AH106</f>
        <v>0.25</v>
      </c>
      <c r="AL106" s="648">
        <v>0</v>
      </c>
      <c r="AM106" s="478">
        <f t="shared" si="45"/>
        <v>1</v>
      </c>
      <c r="AN106" s="478" t="e">
        <f t="shared" si="46"/>
        <v>#DIV/0!</v>
      </c>
      <c r="AO106" s="478">
        <f t="shared" si="47"/>
        <v>0.47499999999999998</v>
      </c>
      <c r="AP106" s="478" t="e">
        <f t="shared" si="48"/>
        <v>#DIV/0!</v>
      </c>
      <c r="AQ106" s="619" t="s">
        <v>1061</v>
      </c>
      <c r="AR106" s="472">
        <v>0.25</v>
      </c>
      <c r="AS106" s="484" t="str">
        <f t="shared" si="68"/>
        <v>Expedición de Certificaciones de Personal</v>
      </c>
      <c r="AT106" s="473">
        <v>0</v>
      </c>
      <c r="AU106" s="525"/>
      <c r="AV106" s="524"/>
      <c r="AW106" s="478">
        <f t="shared" si="49"/>
        <v>0</v>
      </c>
      <c r="AX106" s="478" t="e">
        <f t="shared" si="50"/>
        <v>#DIV/0!</v>
      </c>
      <c r="AY106" s="478">
        <f t="shared" si="51"/>
        <v>0.47499999999999998</v>
      </c>
      <c r="AZ106" s="478" t="e">
        <f t="shared" si="52"/>
        <v>#DIV/0!</v>
      </c>
      <c r="BA106" s="478"/>
      <c r="BB106" s="472">
        <v>0.25</v>
      </c>
      <c r="BC106" s="484" t="str">
        <f t="shared" si="69"/>
        <v>Expedición de Certificaciones de Personal</v>
      </c>
      <c r="BD106" s="473">
        <v>0</v>
      </c>
      <c r="BE106" s="479"/>
      <c r="BF106" s="479"/>
      <c r="BG106" s="472">
        <f t="shared" si="64"/>
        <v>0</v>
      </c>
      <c r="BH106" s="472" t="e">
        <f t="shared" si="65"/>
        <v>#DIV/0!</v>
      </c>
      <c r="BI106" s="472">
        <f t="shared" si="66"/>
        <v>0.47499999999999998</v>
      </c>
      <c r="BJ106" s="472" t="e">
        <f t="shared" si="67"/>
        <v>#DIV/0!</v>
      </c>
      <c r="BK106" s="472"/>
      <c r="BL106" s="533">
        <f t="shared" si="53"/>
        <v>0.9</v>
      </c>
      <c r="BM106" s="533" t="str">
        <f t="shared" si="54"/>
        <v>No Prog ni Ejec</v>
      </c>
      <c r="BN106" s="533">
        <f t="shared" si="55"/>
        <v>1</v>
      </c>
      <c r="BO106" s="533" t="str">
        <f t="shared" si="56"/>
        <v>No Prog ni Ejec</v>
      </c>
      <c r="BP106" s="533">
        <f t="shared" si="57"/>
        <v>0</v>
      </c>
      <c r="BQ106" s="533" t="str">
        <f t="shared" si="58"/>
        <v>No Prog ni Ejec</v>
      </c>
      <c r="BR106" s="533">
        <f t="shared" si="59"/>
        <v>0</v>
      </c>
      <c r="BS106" s="533" t="str">
        <f t="shared" si="60"/>
        <v>No Prog ni Ejec</v>
      </c>
      <c r="BT106" s="480">
        <f t="shared" si="61"/>
        <v>0.58333333333333337</v>
      </c>
      <c r="BU106" s="481" t="str">
        <f t="shared" si="87"/>
        <v>Expedición de Certificaciones de Personal</v>
      </c>
      <c r="BV106" s="482">
        <f t="shared" si="40"/>
        <v>0</v>
      </c>
      <c r="BW106" s="479"/>
      <c r="BX106" s="479"/>
      <c r="BY106" s="479"/>
      <c r="BZ106" s="479"/>
      <c r="CA106" s="479"/>
      <c r="CB106" s="479"/>
      <c r="CC106" s="479"/>
    </row>
    <row r="107" spans="1:81" s="428" customFormat="1" ht="89.25" x14ac:dyDescent="0.25">
      <c r="A107" s="468">
        <v>11700</v>
      </c>
      <c r="B107" s="469" t="s">
        <v>29</v>
      </c>
      <c r="C107" s="470" t="s">
        <v>328</v>
      </c>
      <c r="D107" s="469" t="s">
        <v>256</v>
      </c>
      <c r="E107" s="470" t="s">
        <v>422</v>
      </c>
      <c r="F107" s="469" t="s">
        <v>755</v>
      </c>
      <c r="G107" s="471" t="s">
        <v>123</v>
      </c>
      <c r="H107" s="474">
        <v>1</v>
      </c>
      <c r="I107" s="470" t="s">
        <v>423</v>
      </c>
      <c r="J107" s="469" t="s">
        <v>756</v>
      </c>
      <c r="K107" s="473">
        <v>100000000</v>
      </c>
      <c r="L107" s="474">
        <v>1</v>
      </c>
      <c r="M107" s="469" t="s">
        <v>48</v>
      </c>
      <c r="N107" s="469" t="s">
        <v>68</v>
      </c>
      <c r="O107" s="469" t="s">
        <v>37</v>
      </c>
      <c r="P107" s="469" t="s">
        <v>38</v>
      </c>
      <c r="Q107" s="469" t="s">
        <v>229</v>
      </c>
      <c r="R107" s="469" t="s">
        <v>670</v>
      </c>
      <c r="S107" s="469" t="s">
        <v>99</v>
      </c>
      <c r="T107" s="472">
        <v>1</v>
      </c>
      <c r="U107" s="475" t="str">
        <f t="shared" si="62"/>
        <v>Publicación Actos Administrativos Diario Oficial y diario de amplia circulación</v>
      </c>
      <c r="V107" s="476">
        <f t="shared" si="63"/>
        <v>100000000</v>
      </c>
      <c r="W107" s="477" t="s">
        <v>114</v>
      </c>
      <c r="X107" s="472">
        <v>0</v>
      </c>
      <c r="Y107" s="484" t="str">
        <f t="shared" si="88"/>
        <v>Publicación Actos Administrativos Diario Oficial y diario de amplia circulación</v>
      </c>
      <c r="Z107" s="473">
        <v>0</v>
      </c>
      <c r="AA107" s="525">
        <f>(2/2)</f>
        <v>1</v>
      </c>
      <c r="AB107" s="473">
        <v>57600</v>
      </c>
      <c r="AC107" s="478" t="e">
        <f t="shared" si="41"/>
        <v>#DIV/0!</v>
      </c>
      <c r="AD107" s="478" t="e">
        <f t="shared" si="42"/>
        <v>#DIV/0!</v>
      </c>
      <c r="AE107" s="478">
        <f t="shared" si="43"/>
        <v>1</v>
      </c>
      <c r="AF107" s="478">
        <f>+(AB107/V107)</f>
        <v>5.7600000000000001E-4</v>
      </c>
      <c r="AG107" s="483" t="s">
        <v>891</v>
      </c>
      <c r="AH107" s="472">
        <v>0.5</v>
      </c>
      <c r="AI107" s="484" t="str">
        <f t="shared" si="89"/>
        <v>Publicación Actos Administrativos Diario Oficial y diario de amplia circulación</v>
      </c>
      <c r="AJ107" s="473">
        <v>50000000</v>
      </c>
      <c r="AK107" s="612">
        <f>0%*AH107</f>
        <v>0</v>
      </c>
      <c r="AL107" s="682">
        <v>56700</v>
      </c>
      <c r="AM107" s="478">
        <f t="shared" si="45"/>
        <v>0</v>
      </c>
      <c r="AN107" s="508">
        <f>+(AL107/AJ107)</f>
        <v>1.134E-3</v>
      </c>
      <c r="AO107" s="478">
        <f>+((AK107+AA107)/T107)*AH107</f>
        <v>0.5</v>
      </c>
      <c r="AP107" s="478">
        <f t="shared" si="48"/>
        <v>1.1429999999999999E-3</v>
      </c>
      <c r="AQ107" s="664"/>
      <c r="AR107" s="472">
        <v>0</v>
      </c>
      <c r="AS107" s="484" t="str">
        <f t="shared" si="68"/>
        <v>Publicación Actos Administrativos Diario Oficial y diario de amplia circulación</v>
      </c>
      <c r="AT107" s="473">
        <v>0</v>
      </c>
      <c r="AU107" s="471"/>
      <c r="AV107" s="524"/>
      <c r="AW107" s="478" t="e">
        <f t="shared" si="49"/>
        <v>#DIV/0!</v>
      </c>
      <c r="AX107" s="478" t="e">
        <f t="shared" si="50"/>
        <v>#DIV/0!</v>
      </c>
      <c r="AY107" s="478">
        <f t="shared" si="51"/>
        <v>1</v>
      </c>
      <c r="AZ107" s="478">
        <f t="shared" si="52"/>
        <v>1.1429999999999999E-3</v>
      </c>
      <c r="BA107" s="478"/>
      <c r="BB107" s="472">
        <v>0.5</v>
      </c>
      <c r="BC107" s="484" t="str">
        <f t="shared" si="69"/>
        <v>Publicación Actos Administrativos Diario Oficial y diario de amplia circulación</v>
      </c>
      <c r="BD107" s="473">
        <v>50000000</v>
      </c>
      <c r="BE107" s="479"/>
      <c r="BF107" s="479"/>
      <c r="BG107" s="472">
        <f t="shared" si="64"/>
        <v>0</v>
      </c>
      <c r="BH107" s="472">
        <f t="shared" si="65"/>
        <v>0</v>
      </c>
      <c r="BI107" s="472">
        <f t="shared" si="66"/>
        <v>1</v>
      </c>
      <c r="BJ107" s="472">
        <f t="shared" si="67"/>
        <v>1.1429999999999999E-3</v>
      </c>
      <c r="BK107" s="472"/>
      <c r="BL107" s="533" t="str">
        <f t="shared" si="53"/>
        <v>No Prog, Ejec=  1</v>
      </c>
      <c r="BM107" s="533" t="str">
        <f>IF(AND(Z107=0,AB107=0),"No Prog ni Ejec",IF(Z107=0,CONCATENATE("No Prog, Ejec=  ",AB107),AB107/Z107))</f>
        <v>No Prog, Ejec=  57600</v>
      </c>
      <c r="BN107" s="533">
        <f t="shared" si="55"/>
        <v>0</v>
      </c>
      <c r="BO107" s="533">
        <f t="shared" si="56"/>
        <v>1.134E-3</v>
      </c>
      <c r="BP107" s="533" t="str">
        <f t="shared" si="57"/>
        <v>No Prog ni Ejec</v>
      </c>
      <c r="BQ107" s="533" t="str">
        <f t="shared" si="58"/>
        <v>No Prog ni Ejec</v>
      </c>
      <c r="BR107" s="533">
        <f t="shared" si="59"/>
        <v>0</v>
      </c>
      <c r="BS107" s="533">
        <f t="shared" si="60"/>
        <v>0</v>
      </c>
      <c r="BT107" s="480">
        <f t="shared" si="61"/>
        <v>0.5</v>
      </c>
      <c r="BU107" s="481" t="str">
        <f t="shared" si="87"/>
        <v>Publicación Actos Administrativos Diario Oficial y diario de amplia circulación</v>
      </c>
      <c r="BV107" s="482">
        <f t="shared" si="40"/>
        <v>50000000</v>
      </c>
      <c r="BW107" s="479"/>
      <c r="BX107" s="479"/>
      <c r="BY107" s="479"/>
      <c r="BZ107" s="479"/>
      <c r="CA107" s="479"/>
      <c r="CB107" s="479"/>
      <c r="CC107" s="479"/>
    </row>
    <row r="108" spans="1:81" s="428" customFormat="1" ht="89.25" x14ac:dyDescent="0.25">
      <c r="A108" s="468">
        <v>11700</v>
      </c>
      <c r="B108" s="469" t="s">
        <v>29</v>
      </c>
      <c r="C108" s="470" t="s">
        <v>328</v>
      </c>
      <c r="D108" s="469" t="s">
        <v>256</v>
      </c>
      <c r="E108" s="470" t="s">
        <v>425</v>
      </c>
      <c r="F108" s="469" t="s">
        <v>426</v>
      </c>
      <c r="G108" s="471" t="s">
        <v>123</v>
      </c>
      <c r="H108" s="472">
        <v>1</v>
      </c>
      <c r="I108" s="470" t="s">
        <v>427</v>
      </c>
      <c r="J108" s="469" t="s">
        <v>428</v>
      </c>
      <c r="K108" s="473">
        <f>4583312678.87+6916280+129160274+632991+100000000</f>
        <v>4820022223.8699999</v>
      </c>
      <c r="L108" s="474">
        <v>1</v>
      </c>
      <c r="M108" s="469" t="s">
        <v>51</v>
      </c>
      <c r="N108" s="469" t="s">
        <v>56</v>
      </c>
      <c r="O108" s="469" t="s">
        <v>37</v>
      </c>
      <c r="P108" s="469" t="s">
        <v>41</v>
      </c>
      <c r="Q108" s="469" t="s">
        <v>222</v>
      </c>
      <c r="R108" s="469" t="s">
        <v>379</v>
      </c>
      <c r="S108" s="469" t="s">
        <v>99</v>
      </c>
      <c r="T108" s="474">
        <v>1</v>
      </c>
      <c r="U108" s="475" t="str">
        <f t="shared" si="62"/>
        <v>Funcionamiento continuo de las instalaciones de la ADRES</v>
      </c>
      <c r="V108" s="476">
        <f t="shared" si="63"/>
        <v>4820022223.8699999</v>
      </c>
      <c r="W108" s="477" t="s">
        <v>114</v>
      </c>
      <c r="X108" s="472">
        <v>0.2</v>
      </c>
      <c r="Y108" s="484" t="str">
        <f t="shared" si="88"/>
        <v>Funcionamiento continuo de las instalaciones de la ADRES</v>
      </c>
      <c r="Z108" s="473">
        <f>+V108*X108</f>
        <v>964004444.77400005</v>
      </c>
      <c r="AA108" s="567">
        <f>(AB108/Z108)*20%</f>
        <v>0.18953582796273838</v>
      </c>
      <c r="AB108" s="473">
        <v>913566903</v>
      </c>
      <c r="AC108" s="478">
        <f t="shared" si="41"/>
        <v>0.9476791398136919</v>
      </c>
      <c r="AD108" s="478">
        <f t="shared" si="42"/>
        <v>0.9476791398136919</v>
      </c>
      <c r="AE108" s="478">
        <f t="shared" si="43"/>
        <v>0.18953582796273838</v>
      </c>
      <c r="AF108" s="478">
        <f t="shared" si="44"/>
        <v>0.18953582796273838</v>
      </c>
      <c r="AG108" s="483" t="s">
        <v>769</v>
      </c>
      <c r="AH108" s="472">
        <v>0.2</v>
      </c>
      <c r="AI108" s="484" t="str">
        <f t="shared" si="89"/>
        <v>Funcionamiento continuo de las instalaciones de la ADRES</v>
      </c>
      <c r="AJ108" s="473">
        <v>944004444.77400005</v>
      </c>
      <c r="AK108" s="687">
        <f>+(AL108/AJ108)*AH108</f>
        <v>0.21532253711227273</v>
      </c>
      <c r="AL108" s="682">
        <v>1016327160.47</v>
      </c>
      <c r="AM108" s="478">
        <f t="shared" si="45"/>
        <v>1.0766126855613636</v>
      </c>
      <c r="AN108" s="478">
        <f t="shared" si="46"/>
        <v>1.0766126855613636</v>
      </c>
      <c r="AO108" s="478">
        <f t="shared" si="47"/>
        <v>0.40485836507501111</v>
      </c>
      <c r="AP108" s="478">
        <f t="shared" si="48"/>
        <v>0.40039111311824749</v>
      </c>
      <c r="AQ108" s="478"/>
      <c r="AR108" s="472">
        <v>0.3</v>
      </c>
      <c r="AS108" s="484" t="str">
        <f t="shared" si="68"/>
        <v>Funcionamiento continuo de las instalaciones de la ADRES</v>
      </c>
      <c r="AT108" s="473">
        <f>+AR108*V108</f>
        <v>1446006667.161</v>
      </c>
      <c r="AU108" s="479"/>
      <c r="AV108" s="479"/>
      <c r="AW108" s="478">
        <f t="shared" si="49"/>
        <v>0</v>
      </c>
      <c r="AX108" s="478">
        <f t="shared" si="50"/>
        <v>0</v>
      </c>
      <c r="AY108" s="478">
        <f t="shared" si="51"/>
        <v>0.40485836507501111</v>
      </c>
      <c r="AZ108" s="478">
        <f t="shared" si="52"/>
        <v>0.40039111311824749</v>
      </c>
      <c r="BA108" s="478"/>
      <c r="BB108" s="472">
        <v>0.3</v>
      </c>
      <c r="BC108" s="484" t="str">
        <f t="shared" si="69"/>
        <v>Funcionamiento continuo de las instalaciones de la ADRES</v>
      </c>
      <c r="BD108" s="473">
        <v>1416006667.161</v>
      </c>
      <c r="BE108" s="479"/>
      <c r="BF108" s="479"/>
      <c r="BG108" s="472">
        <f t="shared" si="64"/>
        <v>0</v>
      </c>
      <c r="BH108" s="472">
        <f t="shared" si="65"/>
        <v>0</v>
      </c>
      <c r="BI108" s="472">
        <f t="shared" si="66"/>
        <v>0.40485836507501111</v>
      </c>
      <c r="BJ108" s="472">
        <f t="shared" si="67"/>
        <v>0.40039111311824749</v>
      </c>
      <c r="BK108" s="472"/>
      <c r="BL108" s="533">
        <f t="shared" si="53"/>
        <v>0.9476791398136919</v>
      </c>
      <c r="BM108" s="533">
        <f t="shared" si="54"/>
        <v>0.9476791398136919</v>
      </c>
      <c r="BN108" s="533">
        <f t="shared" si="55"/>
        <v>1.0766126855613636</v>
      </c>
      <c r="BO108" s="533">
        <f t="shared" si="56"/>
        <v>1.0766126855613636</v>
      </c>
      <c r="BP108" s="533">
        <f t="shared" si="57"/>
        <v>0</v>
      </c>
      <c r="BQ108" s="533">
        <f t="shared" si="58"/>
        <v>0</v>
      </c>
      <c r="BR108" s="533">
        <f t="shared" si="59"/>
        <v>0</v>
      </c>
      <c r="BS108" s="533">
        <f t="shared" si="60"/>
        <v>0</v>
      </c>
      <c r="BT108" s="480">
        <f t="shared" si="61"/>
        <v>0.5</v>
      </c>
      <c r="BU108" s="481" t="str">
        <f t="shared" si="87"/>
        <v>Funcionamiento continuo de las instalaciones de la ADRES</v>
      </c>
      <c r="BV108" s="482">
        <f t="shared" si="40"/>
        <v>2390011111.9349999</v>
      </c>
      <c r="BW108" s="479"/>
      <c r="BX108" s="479"/>
      <c r="BY108" s="479"/>
      <c r="BZ108" s="479"/>
      <c r="CA108" s="479"/>
      <c r="CB108" s="479"/>
      <c r="CC108" s="479"/>
    </row>
    <row r="109" spans="1:81" s="428" customFormat="1" ht="102" x14ac:dyDescent="0.3">
      <c r="A109" s="468">
        <v>11700</v>
      </c>
      <c r="B109" s="469" t="s">
        <v>29</v>
      </c>
      <c r="C109" s="470" t="s">
        <v>328</v>
      </c>
      <c r="D109" s="469" t="s">
        <v>256</v>
      </c>
      <c r="E109" s="470" t="s">
        <v>429</v>
      </c>
      <c r="F109" s="469" t="s">
        <v>430</v>
      </c>
      <c r="G109" s="471" t="s">
        <v>123</v>
      </c>
      <c r="H109" s="472">
        <v>1</v>
      </c>
      <c r="I109" s="470" t="s">
        <v>457</v>
      </c>
      <c r="J109" s="469" t="s">
        <v>761</v>
      </c>
      <c r="K109" s="473">
        <f>570000000+2926175+100000000</f>
        <v>672926175</v>
      </c>
      <c r="L109" s="474">
        <v>1</v>
      </c>
      <c r="M109" s="469" t="s">
        <v>51</v>
      </c>
      <c r="N109" s="469" t="s">
        <v>56</v>
      </c>
      <c r="O109" s="469" t="s">
        <v>37</v>
      </c>
      <c r="P109" s="469" t="s">
        <v>41</v>
      </c>
      <c r="Q109" s="469" t="s">
        <v>222</v>
      </c>
      <c r="R109" s="469" t="s">
        <v>379</v>
      </c>
      <c r="S109" s="469" t="s">
        <v>99</v>
      </c>
      <c r="T109" s="472">
        <v>1</v>
      </c>
      <c r="U109" s="475" t="str">
        <f t="shared" si="62"/>
        <v xml:space="preserve">Suministro de Tiquetes Aéreos y Viáticos </v>
      </c>
      <c r="V109" s="476">
        <f t="shared" si="63"/>
        <v>672926175</v>
      </c>
      <c r="W109" s="477" t="s">
        <v>114</v>
      </c>
      <c r="X109" s="472">
        <v>0.25</v>
      </c>
      <c r="Y109" s="484" t="str">
        <f t="shared" si="88"/>
        <v xml:space="preserve">Suministro de Tiquetes Aéreos y Viáticos </v>
      </c>
      <c r="Z109" s="473">
        <f>+X109*V109</f>
        <v>168231543.75</v>
      </c>
      <c r="AA109" s="525">
        <f>(AB109/Z109)*25%</f>
        <v>2.8526488808374856E-2</v>
      </c>
      <c r="AB109" s="473">
        <v>19196221</v>
      </c>
      <c r="AC109" s="478">
        <f t="shared" si="41"/>
        <v>0.11410595523349942</v>
      </c>
      <c r="AD109" s="478">
        <f t="shared" si="42"/>
        <v>0.11410595523349942</v>
      </c>
      <c r="AE109" s="478">
        <f t="shared" si="43"/>
        <v>2.8526488808374856E-2</v>
      </c>
      <c r="AF109" s="478">
        <f t="shared" si="44"/>
        <v>2.8526488808374856E-2</v>
      </c>
      <c r="AG109" s="483" t="s">
        <v>994</v>
      </c>
      <c r="AH109" s="472">
        <v>0.25</v>
      </c>
      <c r="AI109" s="484" t="str">
        <f t="shared" si="89"/>
        <v xml:space="preserve">Suministro de Tiquetes Aéreos y Viáticos </v>
      </c>
      <c r="AJ109" s="473">
        <f>+AH109*V109</f>
        <v>168231543.75</v>
      </c>
      <c r="AK109" s="687">
        <f>+(AL109/AJ109)*AH109</f>
        <v>6.3398401763759604E-2</v>
      </c>
      <c r="AL109" s="841">
        <v>42662444</v>
      </c>
      <c r="AM109" s="478">
        <f t="shared" si="45"/>
        <v>0.25359360705503842</v>
      </c>
      <c r="AN109" s="478">
        <f t="shared" si="46"/>
        <v>0.25359360705503842</v>
      </c>
      <c r="AO109" s="478">
        <f t="shared" si="47"/>
        <v>9.192489057213446E-2</v>
      </c>
      <c r="AP109" s="478">
        <f t="shared" si="48"/>
        <v>9.192489057213446E-2</v>
      </c>
      <c r="AQ109" s="478"/>
      <c r="AR109" s="472">
        <v>0.25</v>
      </c>
      <c r="AS109" s="484" t="str">
        <f t="shared" si="68"/>
        <v xml:space="preserve">Suministro de Tiquetes Aéreos y Viáticos </v>
      </c>
      <c r="AT109" s="473">
        <f>+AR109*V109</f>
        <v>168231543.75</v>
      </c>
      <c r="AU109" s="479"/>
      <c r="AV109" s="479"/>
      <c r="AW109" s="478">
        <f t="shared" si="49"/>
        <v>0</v>
      </c>
      <c r="AX109" s="478">
        <f t="shared" si="50"/>
        <v>0</v>
      </c>
      <c r="AY109" s="478">
        <f t="shared" si="51"/>
        <v>9.192489057213446E-2</v>
      </c>
      <c r="AZ109" s="478">
        <f t="shared" si="52"/>
        <v>9.192489057213446E-2</v>
      </c>
      <c r="BA109" s="478"/>
      <c r="BB109" s="472">
        <v>0.25</v>
      </c>
      <c r="BC109" s="484" t="str">
        <f t="shared" si="69"/>
        <v xml:space="preserve">Suministro de Tiquetes Aéreos y Viáticos </v>
      </c>
      <c r="BD109" s="473">
        <f>+BB109*V109</f>
        <v>168231543.75</v>
      </c>
      <c r="BE109" s="479"/>
      <c r="BF109" s="479"/>
      <c r="BG109" s="472">
        <f t="shared" si="64"/>
        <v>0</v>
      </c>
      <c r="BH109" s="472">
        <f t="shared" si="65"/>
        <v>0</v>
      </c>
      <c r="BI109" s="472">
        <f t="shared" si="66"/>
        <v>9.192489057213446E-2</v>
      </c>
      <c r="BJ109" s="472">
        <f t="shared" si="67"/>
        <v>9.192489057213446E-2</v>
      </c>
      <c r="BK109" s="472"/>
      <c r="BL109" s="533">
        <f t="shared" si="53"/>
        <v>0.11410595523349942</v>
      </c>
      <c r="BM109" s="533">
        <f t="shared" si="54"/>
        <v>0.11410595523349942</v>
      </c>
      <c r="BN109" s="533">
        <f t="shared" si="55"/>
        <v>0.25359360705503842</v>
      </c>
      <c r="BO109" s="533">
        <f t="shared" si="56"/>
        <v>0.25359360705503842</v>
      </c>
      <c r="BP109" s="533">
        <f t="shared" si="57"/>
        <v>0</v>
      </c>
      <c r="BQ109" s="533">
        <f t="shared" si="58"/>
        <v>0</v>
      </c>
      <c r="BR109" s="533">
        <f t="shared" si="59"/>
        <v>0</v>
      </c>
      <c r="BS109" s="533">
        <f t="shared" si="60"/>
        <v>0</v>
      </c>
      <c r="BT109" s="480">
        <f t="shared" si="61"/>
        <v>0.58333333333333337</v>
      </c>
      <c r="BU109" s="481" t="str">
        <f t="shared" si="87"/>
        <v xml:space="preserve">Suministro de Tiquetes Aéreos y Viáticos </v>
      </c>
      <c r="BV109" s="482">
        <f t="shared" si="40"/>
        <v>392540268.75</v>
      </c>
      <c r="BW109" s="479"/>
      <c r="BX109" s="479"/>
      <c r="BY109" s="479"/>
      <c r="BZ109" s="479"/>
      <c r="CA109" s="479"/>
      <c r="CB109" s="479"/>
      <c r="CC109" s="479"/>
    </row>
    <row r="110" spans="1:81" s="428" customFormat="1" ht="89.25" x14ac:dyDescent="0.25">
      <c r="A110" s="468">
        <v>11700</v>
      </c>
      <c r="B110" s="469" t="s">
        <v>29</v>
      </c>
      <c r="C110" s="470" t="s">
        <v>328</v>
      </c>
      <c r="D110" s="469" t="s">
        <v>256</v>
      </c>
      <c r="E110" s="470" t="s">
        <v>431</v>
      </c>
      <c r="F110" s="469" t="s">
        <v>433</v>
      </c>
      <c r="G110" s="471" t="s">
        <v>123</v>
      </c>
      <c r="H110" s="474">
        <v>1</v>
      </c>
      <c r="I110" s="470" t="s">
        <v>432</v>
      </c>
      <c r="J110" s="469" t="s">
        <v>434</v>
      </c>
      <c r="K110" s="473">
        <v>1170191442</v>
      </c>
      <c r="L110" s="474">
        <v>1</v>
      </c>
      <c r="M110" s="469" t="s">
        <v>46</v>
      </c>
      <c r="N110" s="469" t="s">
        <v>59</v>
      </c>
      <c r="O110" s="469" t="s">
        <v>37</v>
      </c>
      <c r="P110" s="469" t="s">
        <v>40</v>
      </c>
      <c r="Q110" s="469" t="s">
        <v>221</v>
      </c>
      <c r="R110" s="469" t="s">
        <v>643</v>
      </c>
      <c r="S110" s="469" t="s">
        <v>99</v>
      </c>
      <c r="T110" s="472">
        <v>1</v>
      </c>
      <c r="U110" s="475" t="str">
        <f t="shared" si="62"/>
        <v xml:space="preserve">Garantizar la gestión de correspondencia de la entidad </v>
      </c>
      <c r="V110" s="476">
        <f t="shared" si="63"/>
        <v>1170191442</v>
      </c>
      <c r="W110" s="477" t="s">
        <v>114</v>
      </c>
      <c r="X110" s="472">
        <v>0.25</v>
      </c>
      <c r="Y110" s="484" t="str">
        <f t="shared" si="88"/>
        <v xml:space="preserve">Garantizar la gestión de correspondencia de la entidad </v>
      </c>
      <c r="Z110" s="473">
        <v>292547860.5</v>
      </c>
      <c r="AA110" s="525">
        <f>+(34234/34234)*X110</f>
        <v>0.25</v>
      </c>
      <c r="AB110" s="473">
        <v>128654910</v>
      </c>
      <c r="AC110" s="478">
        <f t="shared" si="41"/>
        <v>1</v>
      </c>
      <c r="AD110" s="478">
        <f t="shared" si="42"/>
        <v>0.43977388786953714</v>
      </c>
      <c r="AE110" s="478">
        <f t="shared" si="43"/>
        <v>0.25</v>
      </c>
      <c r="AF110" s="478">
        <f t="shared" si="44"/>
        <v>0.10994347196738428</v>
      </c>
      <c r="AG110" s="483"/>
      <c r="AH110" s="472">
        <v>0.25</v>
      </c>
      <c r="AI110" s="484" t="str">
        <f t="shared" si="89"/>
        <v xml:space="preserve">Garantizar la gestión de correspondencia de la entidad </v>
      </c>
      <c r="AJ110" s="473">
        <v>292547860.5</v>
      </c>
      <c r="AK110" s="612">
        <f>(42663/42663)*AH110</f>
        <v>0.25</v>
      </c>
      <c r="AL110" s="682">
        <v>140905092</v>
      </c>
      <c r="AM110" s="478">
        <f t="shared" si="45"/>
        <v>1</v>
      </c>
      <c r="AN110" s="478">
        <f t="shared" si="46"/>
        <v>0.48164800029361349</v>
      </c>
      <c r="AO110" s="478">
        <f t="shared" si="47"/>
        <v>0.5</v>
      </c>
      <c r="AP110" s="478">
        <f t="shared" si="48"/>
        <v>0.23035547204078766</v>
      </c>
      <c r="AQ110" s="478"/>
      <c r="AR110" s="472">
        <v>0.25</v>
      </c>
      <c r="AS110" s="484" t="str">
        <f t="shared" si="68"/>
        <v xml:space="preserve">Garantizar la gestión de correspondencia de la entidad </v>
      </c>
      <c r="AT110" s="473">
        <v>292547860.5</v>
      </c>
      <c r="AU110" s="479"/>
      <c r="AV110" s="479"/>
      <c r="AW110" s="478">
        <f t="shared" si="49"/>
        <v>0</v>
      </c>
      <c r="AX110" s="478">
        <f t="shared" si="50"/>
        <v>0</v>
      </c>
      <c r="AY110" s="478">
        <f t="shared" si="51"/>
        <v>0.5</v>
      </c>
      <c r="AZ110" s="478">
        <f t="shared" si="52"/>
        <v>0.23035547204078766</v>
      </c>
      <c r="BA110" s="478"/>
      <c r="BB110" s="472">
        <v>0.25</v>
      </c>
      <c r="BC110" s="484" t="str">
        <f t="shared" si="69"/>
        <v xml:space="preserve">Garantizar la gestión de correspondencia de la entidad </v>
      </c>
      <c r="BD110" s="473">
        <v>292547860.5</v>
      </c>
      <c r="BE110" s="479"/>
      <c r="BF110" s="479"/>
      <c r="BG110" s="472">
        <f t="shared" si="64"/>
        <v>0</v>
      </c>
      <c r="BH110" s="472">
        <f t="shared" si="65"/>
        <v>0</v>
      </c>
      <c r="BI110" s="472">
        <f t="shared" si="66"/>
        <v>0.5</v>
      </c>
      <c r="BJ110" s="472">
        <f t="shared" si="67"/>
        <v>0.23035547204078766</v>
      </c>
      <c r="BK110" s="472"/>
      <c r="BL110" s="533">
        <f t="shared" si="53"/>
        <v>1</v>
      </c>
      <c r="BM110" s="533">
        <f t="shared" si="54"/>
        <v>0.43977388786953714</v>
      </c>
      <c r="BN110" s="533">
        <f t="shared" si="55"/>
        <v>1</v>
      </c>
      <c r="BO110" s="533">
        <f t="shared" si="56"/>
        <v>0.48164800029361349</v>
      </c>
      <c r="BP110" s="533">
        <f t="shared" si="57"/>
        <v>0</v>
      </c>
      <c r="BQ110" s="533">
        <f t="shared" si="58"/>
        <v>0</v>
      </c>
      <c r="BR110" s="533">
        <f t="shared" si="59"/>
        <v>0</v>
      </c>
      <c r="BS110" s="533">
        <f t="shared" si="60"/>
        <v>0</v>
      </c>
      <c r="BT110" s="480">
        <f t="shared" si="61"/>
        <v>0.58333333333333337</v>
      </c>
      <c r="BU110" s="481" t="str">
        <f t="shared" si="87"/>
        <v xml:space="preserve">Garantizar la gestión de correspondencia de la entidad </v>
      </c>
      <c r="BV110" s="482">
        <f t="shared" si="40"/>
        <v>682611674.5</v>
      </c>
      <c r="BW110" s="479"/>
      <c r="BX110" s="479"/>
      <c r="BY110" s="479"/>
      <c r="BZ110" s="479"/>
      <c r="CA110" s="479"/>
      <c r="CB110" s="479"/>
      <c r="CC110" s="479"/>
    </row>
    <row r="111" spans="1:81" s="428" customFormat="1" ht="306" x14ac:dyDescent="0.25">
      <c r="A111" s="468">
        <v>11700</v>
      </c>
      <c r="B111" s="469" t="s">
        <v>29</v>
      </c>
      <c r="C111" s="470" t="s">
        <v>328</v>
      </c>
      <c r="D111" s="469" t="s">
        <v>256</v>
      </c>
      <c r="E111" s="470" t="s">
        <v>644</v>
      </c>
      <c r="F111" s="469" t="s">
        <v>652</v>
      </c>
      <c r="G111" s="471" t="s">
        <v>123</v>
      </c>
      <c r="H111" s="474">
        <v>1</v>
      </c>
      <c r="I111" s="470" t="s">
        <v>645</v>
      </c>
      <c r="J111" s="469" t="s">
        <v>653</v>
      </c>
      <c r="K111" s="473">
        <v>538238487.5</v>
      </c>
      <c r="L111" s="474">
        <v>1</v>
      </c>
      <c r="M111" s="469" t="s">
        <v>46</v>
      </c>
      <c r="N111" s="469" t="s">
        <v>59</v>
      </c>
      <c r="O111" s="469" t="s">
        <v>37</v>
      </c>
      <c r="P111" s="469" t="s">
        <v>40</v>
      </c>
      <c r="Q111" s="469" t="s">
        <v>220</v>
      </c>
      <c r="R111" s="469" t="s">
        <v>879</v>
      </c>
      <c r="S111" s="469" t="s">
        <v>101</v>
      </c>
      <c r="T111" s="472">
        <v>0.95</v>
      </c>
      <c r="U111" s="475" t="str">
        <f t="shared" si="62"/>
        <v>Garantizar la gestión de Servicio al ciudadano de la entidad  por los diferentes canales  de atención.</v>
      </c>
      <c r="V111" s="476">
        <f t="shared" si="63"/>
        <v>538238487.5</v>
      </c>
      <c r="W111" s="477" t="s">
        <v>114</v>
      </c>
      <c r="X111" s="526">
        <v>0.23749999999999999</v>
      </c>
      <c r="Y111" s="484" t="str">
        <f t="shared" si="88"/>
        <v>Garantizar la gestión de Servicio al ciudadano de la entidad  por los diferentes canales  de atención.</v>
      </c>
      <c r="Z111" s="473">
        <v>134559621.875</v>
      </c>
      <c r="AA111" s="525">
        <f>(12070/14371)*0.2375</f>
        <v>0.19947289680606778</v>
      </c>
      <c r="AB111" s="473">
        <v>137724460</v>
      </c>
      <c r="AC111" s="478">
        <f t="shared" si="41"/>
        <v>0.83988588128870645</v>
      </c>
      <c r="AD111" s="478">
        <f t="shared" si="42"/>
        <v>1.023519968924556</v>
      </c>
      <c r="AE111" s="478">
        <f>+(AA111/T111)</f>
        <v>0.20997147032217661</v>
      </c>
      <c r="AF111" s="478">
        <f t="shared" si="44"/>
        <v>0.255879992231139</v>
      </c>
      <c r="AG111" s="483" t="s">
        <v>1171</v>
      </c>
      <c r="AH111" s="526">
        <v>0.23749999999999999</v>
      </c>
      <c r="AI111" s="484" t="str">
        <f t="shared" si="89"/>
        <v>Garantizar la gestión de Servicio al ciudadano de la entidad  por los diferentes canales  de atención.</v>
      </c>
      <c r="AJ111" s="473">
        <v>134559621.875</v>
      </c>
      <c r="AK111" s="786">
        <f>((4393+5158+3789)/(4875+5984+4181))*0.2375</f>
        <v>0.21065492021276597</v>
      </c>
      <c r="AL111" s="785">
        <v>140352908</v>
      </c>
      <c r="AM111" s="478">
        <f t="shared" si="45"/>
        <v>0.88696808510638303</v>
      </c>
      <c r="AN111" s="478">
        <f t="shared" si="46"/>
        <v>1.0430536742320939</v>
      </c>
      <c r="AO111" s="478">
        <f>+(AK111+AA111)/T111</f>
        <v>0.43171349159877237</v>
      </c>
      <c r="AP111" s="478">
        <f t="shared" si="48"/>
        <v>0.51664341078916254</v>
      </c>
      <c r="AQ111" s="478"/>
      <c r="AR111" s="526">
        <v>0.23749999999999999</v>
      </c>
      <c r="AS111" s="484" t="str">
        <f>+U111</f>
        <v>Garantizar la gestión de Servicio al ciudadano de la entidad  por los diferentes canales  de atención.</v>
      </c>
      <c r="AT111" s="473">
        <v>134559621.875</v>
      </c>
      <c r="AU111" s="479"/>
      <c r="AV111" s="479"/>
      <c r="AW111" s="478">
        <f t="shared" si="49"/>
        <v>0</v>
      </c>
      <c r="AX111" s="478">
        <f t="shared" si="50"/>
        <v>0</v>
      </c>
      <c r="AY111" s="478">
        <f t="shared" si="51"/>
        <v>0.43171349159877237</v>
      </c>
      <c r="AZ111" s="478">
        <f t="shared" si="52"/>
        <v>0.51664341078916254</v>
      </c>
      <c r="BA111" s="478"/>
      <c r="BB111" s="526">
        <v>0.23749999999999999</v>
      </c>
      <c r="BC111" s="484" t="str">
        <f t="shared" si="69"/>
        <v>Garantizar la gestión de Servicio al ciudadano de la entidad  por los diferentes canales  de atención.</v>
      </c>
      <c r="BD111" s="473">
        <v>134559621.875</v>
      </c>
      <c r="BE111" s="479"/>
      <c r="BF111" s="479"/>
      <c r="BG111" s="472">
        <f t="shared" si="64"/>
        <v>0</v>
      </c>
      <c r="BH111" s="472">
        <f t="shared" si="65"/>
        <v>0</v>
      </c>
      <c r="BI111" s="472">
        <f t="shared" si="66"/>
        <v>0.43171349159877237</v>
      </c>
      <c r="BJ111" s="472">
        <f t="shared" si="67"/>
        <v>0.51664341078916254</v>
      </c>
      <c r="BK111" s="472"/>
      <c r="BL111" s="533">
        <f t="shared" si="53"/>
        <v>0.83988588128870645</v>
      </c>
      <c r="BM111" s="533">
        <f t="shared" si="54"/>
        <v>1.023519968924556</v>
      </c>
      <c r="BN111" s="533">
        <f t="shared" si="55"/>
        <v>0.88696808510638303</v>
      </c>
      <c r="BO111" s="533">
        <f t="shared" si="56"/>
        <v>1.0430536742320939</v>
      </c>
      <c r="BP111" s="533">
        <f t="shared" si="57"/>
        <v>0</v>
      </c>
      <c r="BQ111" s="533">
        <f t="shared" si="58"/>
        <v>0</v>
      </c>
      <c r="BR111" s="533">
        <f t="shared" si="59"/>
        <v>0</v>
      </c>
      <c r="BS111" s="533">
        <f t="shared" si="60"/>
        <v>0</v>
      </c>
      <c r="BT111" s="480">
        <f t="shared" si="61"/>
        <v>0.5541666666666667</v>
      </c>
      <c r="BU111" s="481" t="str">
        <f t="shared" si="87"/>
        <v>Garantizar la gestión de Servicio al ciudadano de la entidad  por los diferentes canales  de atención.</v>
      </c>
      <c r="BV111" s="482">
        <f t="shared" si="40"/>
        <v>313972451.04166669</v>
      </c>
      <c r="BW111" s="479"/>
      <c r="BX111" s="479"/>
      <c r="BY111" s="479"/>
      <c r="BZ111" s="479"/>
      <c r="CA111" s="479"/>
      <c r="CB111" s="479"/>
      <c r="CC111" s="479"/>
    </row>
    <row r="112" spans="1:81" s="428" customFormat="1" ht="165.75" x14ac:dyDescent="0.25">
      <c r="A112" s="468">
        <v>11700</v>
      </c>
      <c r="B112" s="469" t="s">
        <v>29</v>
      </c>
      <c r="C112" s="470" t="s">
        <v>328</v>
      </c>
      <c r="D112" s="469" t="s">
        <v>256</v>
      </c>
      <c r="E112" s="470" t="s">
        <v>650</v>
      </c>
      <c r="F112" s="469" t="s">
        <v>655</v>
      </c>
      <c r="G112" s="471" t="s">
        <v>123</v>
      </c>
      <c r="H112" s="474">
        <v>1</v>
      </c>
      <c r="I112" s="470" t="s">
        <v>651</v>
      </c>
      <c r="J112" s="469" t="s">
        <v>656</v>
      </c>
      <c r="K112" s="473">
        <v>48960000</v>
      </c>
      <c r="L112" s="474">
        <v>1</v>
      </c>
      <c r="M112" s="469" t="s">
        <v>46</v>
      </c>
      <c r="N112" s="469" t="s">
        <v>59</v>
      </c>
      <c r="O112" s="469" t="s">
        <v>37</v>
      </c>
      <c r="P112" s="469" t="s">
        <v>40</v>
      </c>
      <c r="Q112" s="469" t="s">
        <v>220</v>
      </c>
      <c r="R112" s="469" t="s">
        <v>821</v>
      </c>
      <c r="S112" s="469" t="s">
        <v>101</v>
      </c>
      <c r="T112" s="472">
        <v>1</v>
      </c>
      <c r="U112" s="475" t="str">
        <f t="shared" si="62"/>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2" s="476">
        <f t="shared" si="63"/>
        <v>48960000</v>
      </c>
      <c r="W112" s="477" t="s">
        <v>114</v>
      </c>
      <c r="X112" s="472">
        <v>0.25</v>
      </c>
      <c r="Y112" s="484" t="str">
        <f t="shared" si="88"/>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Z112" s="473">
        <v>12240000</v>
      </c>
      <c r="AA112" s="525">
        <f>(12/12)*0.25</f>
        <v>0.25</v>
      </c>
      <c r="AB112" s="473">
        <f>2323367+2720000+4080000</f>
        <v>9123367</v>
      </c>
      <c r="AC112" s="478">
        <f t="shared" si="41"/>
        <v>1</v>
      </c>
      <c r="AD112" s="478">
        <f t="shared" si="42"/>
        <v>0.74537312091503272</v>
      </c>
      <c r="AE112" s="478">
        <f t="shared" si="43"/>
        <v>0.25</v>
      </c>
      <c r="AF112" s="478">
        <f t="shared" si="44"/>
        <v>0.18634328022875818</v>
      </c>
      <c r="AG112" s="483" t="s">
        <v>895</v>
      </c>
      <c r="AH112" s="472">
        <v>0.25</v>
      </c>
      <c r="AI112" s="484" t="str">
        <f t="shared" si="89"/>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J112" s="473">
        <v>12240000</v>
      </c>
      <c r="AK112" s="774">
        <f>(12/12)*AH112</f>
        <v>0.25</v>
      </c>
      <c r="AL112" s="680">
        <v>12240000</v>
      </c>
      <c r="AM112" s="478">
        <f t="shared" si="45"/>
        <v>1</v>
      </c>
      <c r="AN112" s="478">
        <f t="shared" si="46"/>
        <v>1</v>
      </c>
      <c r="AO112" s="478">
        <f t="shared" si="47"/>
        <v>0.5</v>
      </c>
      <c r="AP112" s="478">
        <f t="shared" si="48"/>
        <v>0.43634328022875818</v>
      </c>
      <c r="AQ112" s="636" t="s">
        <v>1172</v>
      </c>
      <c r="AR112" s="472">
        <v>0.25</v>
      </c>
      <c r="AS112" s="484" t="str">
        <f>+U112</f>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T112" s="473">
        <v>12240000</v>
      </c>
      <c r="AU112" s="479"/>
      <c r="AV112" s="479"/>
      <c r="AW112" s="478">
        <f t="shared" si="49"/>
        <v>0</v>
      </c>
      <c r="AX112" s="478">
        <f t="shared" si="50"/>
        <v>0</v>
      </c>
      <c r="AY112" s="478">
        <f t="shared" si="51"/>
        <v>0.5</v>
      </c>
      <c r="AZ112" s="478">
        <f t="shared" si="52"/>
        <v>0.43634328022875818</v>
      </c>
      <c r="BA112" s="478"/>
      <c r="BB112" s="472">
        <v>0.25</v>
      </c>
      <c r="BC112" s="484" t="str">
        <f t="shared" si="69"/>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D112" s="473">
        <v>12240000</v>
      </c>
      <c r="BE112" s="479"/>
      <c r="BF112" s="479"/>
      <c r="BG112" s="472">
        <f t="shared" si="64"/>
        <v>0</v>
      </c>
      <c r="BH112" s="472">
        <f t="shared" si="65"/>
        <v>0</v>
      </c>
      <c r="BI112" s="472">
        <f t="shared" si="66"/>
        <v>0.5</v>
      </c>
      <c r="BJ112" s="472">
        <f t="shared" si="67"/>
        <v>0.43634328022875818</v>
      </c>
      <c r="BK112" s="472"/>
      <c r="BL112" s="533">
        <f t="shared" si="53"/>
        <v>1</v>
      </c>
      <c r="BM112" s="533">
        <f t="shared" si="54"/>
        <v>0.74537312091503272</v>
      </c>
      <c r="BN112" s="533">
        <f t="shared" si="55"/>
        <v>1</v>
      </c>
      <c r="BO112" s="533">
        <f t="shared" si="56"/>
        <v>1</v>
      </c>
      <c r="BP112" s="533">
        <f t="shared" si="57"/>
        <v>0</v>
      </c>
      <c r="BQ112" s="533">
        <f t="shared" si="58"/>
        <v>0</v>
      </c>
      <c r="BR112" s="533">
        <f t="shared" si="59"/>
        <v>0</v>
      </c>
      <c r="BS112" s="533">
        <f t="shared" si="60"/>
        <v>0</v>
      </c>
      <c r="BT112" s="480">
        <f t="shared" si="61"/>
        <v>0.58333333333333337</v>
      </c>
      <c r="BU112" s="481" t="str">
        <f t="shared" si="8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V112" s="482">
        <f t="shared" si="40"/>
        <v>28560000</v>
      </c>
      <c r="BW112" s="479"/>
      <c r="BX112" s="479"/>
      <c r="BY112" s="479"/>
      <c r="BZ112" s="479"/>
      <c r="CA112" s="479"/>
      <c r="CB112" s="479"/>
      <c r="CC112" s="479"/>
    </row>
    <row r="113" spans="1:81" s="428" customFormat="1" ht="89.25" x14ac:dyDescent="0.25">
      <c r="A113" s="468">
        <v>11700</v>
      </c>
      <c r="B113" s="469" t="s">
        <v>29</v>
      </c>
      <c r="C113" s="470" t="s">
        <v>328</v>
      </c>
      <c r="D113" s="469" t="s">
        <v>256</v>
      </c>
      <c r="E113" s="470" t="s">
        <v>817</v>
      </c>
      <c r="F113" s="469" t="s">
        <v>646</v>
      </c>
      <c r="G113" s="471" t="s">
        <v>123</v>
      </c>
      <c r="H113" s="472">
        <v>1</v>
      </c>
      <c r="I113" s="470" t="s">
        <v>716</v>
      </c>
      <c r="J113" s="469" t="s">
        <v>762</v>
      </c>
      <c r="K113" s="473">
        <f>2423788854+309609496</f>
        <v>2733398350</v>
      </c>
      <c r="L113" s="474">
        <v>1</v>
      </c>
      <c r="M113" s="469" t="s">
        <v>46</v>
      </c>
      <c r="N113" s="469" t="s">
        <v>59</v>
      </c>
      <c r="O113" s="469" t="s">
        <v>37</v>
      </c>
      <c r="P113" s="469" t="s">
        <v>40</v>
      </c>
      <c r="Q113" s="469" t="s">
        <v>221</v>
      </c>
      <c r="R113" s="469" t="s">
        <v>648</v>
      </c>
      <c r="S113" s="469" t="s">
        <v>99</v>
      </c>
      <c r="T113" s="472">
        <v>1</v>
      </c>
      <c r="U113" s="475" t="str">
        <f t="shared" si="62"/>
        <v xml:space="preserve">Prestar los servicios especializados en gestión documental de administración, custodia, conservación, consulta, préstamo en soporte físico y magnético </v>
      </c>
      <c r="V113" s="476">
        <f t="shared" si="63"/>
        <v>2733398350</v>
      </c>
      <c r="W113" s="477" t="s">
        <v>114</v>
      </c>
      <c r="X113" s="472">
        <v>0.25</v>
      </c>
      <c r="Y113" s="484" t="str">
        <f t="shared" si="88"/>
        <v xml:space="preserve">Prestar los servicios especializados en gestión documental de administración, custodia, conservación, consulta, préstamo en soporte físico y magnético </v>
      </c>
      <c r="Z113" s="473">
        <f>+K113*X113</f>
        <v>683349587.5</v>
      </c>
      <c r="AA113" s="567">
        <f>((107-11)/107)*25%</f>
        <v>0.22429906542056074</v>
      </c>
      <c r="AB113" s="473">
        <v>931842461</v>
      </c>
      <c r="AC113" s="478">
        <f t="shared" si="41"/>
        <v>0.89719626168224298</v>
      </c>
      <c r="AD113" s="478">
        <f t="shared" si="42"/>
        <v>1.3636394578199698</v>
      </c>
      <c r="AE113" s="478">
        <f t="shared" si="43"/>
        <v>0.22429906542056074</v>
      </c>
      <c r="AF113" s="478">
        <f t="shared" si="44"/>
        <v>0.34090986445499244</v>
      </c>
      <c r="AG113" s="483" t="s">
        <v>995</v>
      </c>
      <c r="AH113" s="472">
        <v>0.25</v>
      </c>
      <c r="AI113" s="484" t="str">
        <f t="shared" si="89"/>
        <v xml:space="preserve">Prestar los servicios especializados en gestión documental de administración, custodia, conservación, consulta, préstamo en soporte físico y magnético </v>
      </c>
      <c r="AJ113" s="473">
        <v>683349587.5</v>
      </c>
      <c r="AK113" s="612">
        <f>(662/662)*AH113</f>
        <v>0.25</v>
      </c>
      <c r="AL113" s="616">
        <v>461988694</v>
      </c>
      <c r="AM113" s="478">
        <f t="shared" si="45"/>
        <v>1</v>
      </c>
      <c r="AN113" s="478">
        <f t="shared" si="46"/>
        <v>0.67606493433348269</v>
      </c>
      <c r="AO113" s="478">
        <f t="shared" si="47"/>
        <v>0.47429906542056077</v>
      </c>
      <c r="AP113" s="478">
        <f t="shared" si="48"/>
        <v>0.50992609803836308</v>
      </c>
      <c r="AQ113" s="455" t="s">
        <v>1063</v>
      </c>
      <c r="AR113" s="472">
        <v>0.25</v>
      </c>
      <c r="AS113" s="484" t="str">
        <f>+U113</f>
        <v xml:space="preserve">Prestar los servicios especializados en gestión documental de administración, custodia, conservación, consulta, préstamo en soporte físico y magnético </v>
      </c>
      <c r="AT113" s="473">
        <v>683349587.5</v>
      </c>
      <c r="AU113" s="479"/>
      <c r="AV113" s="479"/>
      <c r="AW113" s="478">
        <f t="shared" si="49"/>
        <v>0</v>
      </c>
      <c r="AX113" s="478">
        <f t="shared" si="50"/>
        <v>0</v>
      </c>
      <c r="AY113" s="478">
        <f t="shared" si="51"/>
        <v>0.47429906542056077</v>
      </c>
      <c r="AZ113" s="478">
        <f t="shared" si="52"/>
        <v>0.50992609803836308</v>
      </c>
      <c r="BA113" s="478"/>
      <c r="BB113" s="472">
        <v>0.25</v>
      </c>
      <c r="BC113" s="484" t="str">
        <f t="shared" si="69"/>
        <v xml:space="preserve">Prestar los servicios especializados en gestión documental de administración, custodia, conservación, consulta, préstamo en soporte físico y magnético </v>
      </c>
      <c r="BD113" s="473">
        <v>683349587.5</v>
      </c>
      <c r="BE113" s="479"/>
      <c r="BF113" s="479"/>
      <c r="BG113" s="472">
        <f t="shared" si="64"/>
        <v>0</v>
      </c>
      <c r="BH113" s="472">
        <f t="shared" si="65"/>
        <v>0</v>
      </c>
      <c r="BI113" s="472">
        <f t="shared" si="66"/>
        <v>0.47429906542056077</v>
      </c>
      <c r="BJ113" s="472">
        <f t="shared" si="67"/>
        <v>0.50992609803836308</v>
      </c>
      <c r="BK113" s="472"/>
      <c r="BL113" s="533">
        <f t="shared" si="53"/>
        <v>0.89719626168224298</v>
      </c>
      <c r="BM113" s="533">
        <f t="shared" si="54"/>
        <v>1.3636394578199698</v>
      </c>
      <c r="BN113" s="533">
        <f t="shared" si="55"/>
        <v>1</v>
      </c>
      <c r="BO113" s="533">
        <f t="shared" si="56"/>
        <v>0.67606493433348269</v>
      </c>
      <c r="BP113" s="533">
        <f t="shared" si="57"/>
        <v>0</v>
      </c>
      <c r="BQ113" s="533">
        <f t="shared" si="58"/>
        <v>0</v>
      </c>
      <c r="BR113" s="533">
        <f t="shared" si="59"/>
        <v>0</v>
      </c>
      <c r="BS113" s="533">
        <f t="shared" si="60"/>
        <v>0</v>
      </c>
      <c r="BT113" s="480">
        <f t="shared" si="61"/>
        <v>0.58333333333333337</v>
      </c>
      <c r="BU113" s="481" t="str">
        <f t="shared" si="87"/>
        <v xml:space="preserve">Prestar los servicios especializados en gestión documental de administración, custodia, conservación, consulta, préstamo en soporte físico y magnético </v>
      </c>
      <c r="BV113" s="482">
        <f t="shared" si="40"/>
        <v>1594482370.8333333</v>
      </c>
      <c r="BW113" s="479"/>
      <c r="BX113" s="479"/>
      <c r="BY113" s="479"/>
      <c r="BZ113" s="479"/>
      <c r="CA113" s="479"/>
      <c r="CB113" s="479"/>
      <c r="CC113" s="479"/>
    </row>
    <row r="114" spans="1:81" s="428" customFormat="1" ht="51" x14ac:dyDescent="0.25">
      <c r="A114" s="468">
        <v>11800</v>
      </c>
      <c r="B114" s="469" t="s">
        <v>5</v>
      </c>
      <c r="C114" s="470" t="s">
        <v>319</v>
      </c>
      <c r="D114" s="469" t="s">
        <v>153</v>
      </c>
      <c r="E114" s="470" t="s">
        <v>320</v>
      </c>
      <c r="F114" s="469" t="s">
        <v>133</v>
      </c>
      <c r="G114" s="471" t="s">
        <v>124</v>
      </c>
      <c r="H114" s="470">
        <v>4</v>
      </c>
      <c r="I114" s="470" t="s">
        <v>321</v>
      </c>
      <c r="J114" s="469" t="s">
        <v>24</v>
      </c>
      <c r="K114" s="473">
        <v>0</v>
      </c>
      <c r="L114" s="474">
        <v>1</v>
      </c>
      <c r="M114" s="469" t="s">
        <v>51</v>
      </c>
      <c r="N114" s="469" t="s">
        <v>68</v>
      </c>
      <c r="O114" s="469" t="s">
        <v>21</v>
      </c>
      <c r="P114" s="469" t="s">
        <v>36</v>
      </c>
      <c r="Q114" s="469" t="s">
        <v>75</v>
      </c>
      <c r="R114" s="469" t="s">
        <v>631</v>
      </c>
      <c r="S114" s="469" t="s">
        <v>98</v>
      </c>
      <c r="T114" s="509">
        <v>4</v>
      </c>
      <c r="U114" s="475" t="str">
        <f t="shared" si="62"/>
        <v>Reportar el cumplimiento del Plan de Acción de la Dependencia</v>
      </c>
      <c r="V114" s="476">
        <f t="shared" si="63"/>
        <v>0</v>
      </c>
      <c r="W114" s="477" t="s">
        <v>117</v>
      </c>
      <c r="X114" s="501">
        <v>1</v>
      </c>
      <c r="Y114" s="484" t="str">
        <f t="shared" si="88"/>
        <v>Reportar el cumplimiento del Plan de Acción de la Dependencia</v>
      </c>
      <c r="Z114" s="473">
        <v>0</v>
      </c>
      <c r="AA114" s="479">
        <v>1</v>
      </c>
      <c r="AB114" s="482">
        <v>0</v>
      </c>
      <c r="AC114" s="478">
        <f t="shared" si="41"/>
        <v>1</v>
      </c>
      <c r="AD114" s="478" t="e">
        <f t="shared" si="42"/>
        <v>#DIV/0!</v>
      </c>
      <c r="AE114" s="478">
        <f t="shared" si="43"/>
        <v>0.25</v>
      </c>
      <c r="AF114" s="478" t="e">
        <f t="shared" si="44"/>
        <v>#DIV/0!</v>
      </c>
      <c r="AG114" s="483" t="s">
        <v>881</v>
      </c>
      <c r="AH114" s="501">
        <v>1</v>
      </c>
      <c r="AI114" s="484" t="str">
        <f t="shared" si="89"/>
        <v>Reportar el cumplimiento del Plan de Acción de la Dependencia</v>
      </c>
      <c r="AJ114" s="473">
        <v>0</v>
      </c>
      <c r="AK114" s="651">
        <v>1</v>
      </c>
      <c r="AL114" s="616">
        <v>0</v>
      </c>
      <c r="AM114" s="478">
        <f t="shared" si="45"/>
        <v>1</v>
      </c>
      <c r="AN114" s="478" t="e">
        <f t="shared" si="46"/>
        <v>#DIV/0!</v>
      </c>
      <c r="AO114" s="478">
        <f t="shared" si="47"/>
        <v>0.5</v>
      </c>
      <c r="AP114" s="478" t="e">
        <f t="shared" si="48"/>
        <v>#DIV/0!</v>
      </c>
      <c r="AQ114" s="636" t="s">
        <v>1052</v>
      </c>
      <c r="AR114" s="501">
        <v>1</v>
      </c>
      <c r="AS114" s="484" t="str">
        <f>+U114</f>
        <v>Reportar el cumplimiento del Plan de Acción de la Dependencia</v>
      </c>
      <c r="AT114" s="473">
        <v>0</v>
      </c>
      <c r="AU114" s="479"/>
      <c r="AV114" s="479"/>
      <c r="AW114" s="478">
        <f t="shared" si="49"/>
        <v>0</v>
      </c>
      <c r="AX114" s="478" t="e">
        <f t="shared" si="50"/>
        <v>#DIV/0!</v>
      </c>
      <c r="AY114" s="478">
        <f t="shared" si="51"/>
        <v>0.5</v>
      </c>
      <c r="AZ114" s="478" t="e">
        <f t="shared" si="52"/>
        <v>#DIV/0!</v>
      </c>
      <c r="BA114" s="478"/>
      <c r="BB114" s="501">
        <v>1</v>
      </c>
      <c r="BC114" s="484" t="str">
        <f t="shared" si="69"/>
        <v>Reportar el cumplimiento del Plan de Acción de la Dependencia</v>
      </c>
      <c r="BD114" s="473">
        <v>0</v>
      </c>
      <c r="BE114" s="479"/>
      <c r="BF114" s="479"/>
      <c r="BG114" s="472">
        <f t="shared" si="64"/>
        <v>0</v>
      </c>
      <c r="BH114" s="472" t="e">
        <f t="shared" si="65"/>
        <v>#DIV/0!</v>
      </c>
      <c r="BI114" s="472">
        <f t="shared" si="66"/>
        <v>0.5</v>
      </c>
      <c r="BJ114" s="472" t="e">
        <f t="shared" si="67"/>
        <v>#DIV/0!</v>
      </c>
      <c r="BK114" s="472"/>
      <c r="BL114" s="533">
        <f t="shared" si="53"/>
        <v>1</v>
      </c>
      <c r="BM114" s="533" t="str">
        <f t="shared" si="54"/>
        <v>No Prog ni Ejec</v>
      </c>
      <c r="BN114" s="533">
        <f t="shared" si="55"/>
        <v>1</v>
      </c>
      <c r="BO114" s="533" t="str">
        <f t="shared" si="56"/>
        <v>No Prog ni Ejec</v>
      </c>
      <c r="BP114" s="533">
        <f t="shared" si="57"/>
        <v>0</v>
      </c>
      <c r="BQ114" s="533" t="str">
        <f t="shared" si="58"/>
        <v>No Prog ni Ejec</v>
      </c>
      <c r="BR114" s="533">
        <f t="shared" si="59"/>
        <v>0</v>
      </c>
      <c r="BS114" s="533" t="str">
        <f t="shared" si="60"/>
        <v>No Prog ni Ejec</v>
      </c>
      <c r="BT114" s="507">
        <f t="shared" si="61"/>
        <v>2.3333333333333335</v>
      </c>
      <c r="BU114" s="481" t="str">
        <f t="shared" si="87"/>
        <v>Reportar el cumplimiento del Plan de Acción de la Dependencia</v>
      </c>
      <c r="BV114" s="482">
        <f t="shared" si="40"/>
        <v>0</v>
      </c>
      <c r="BW114" s="479"/>
      <c r="BX114" s="479"/>
      <c r="BY114" s="479"/>
      <c r="BZ114" s="479"/>
      <c r="CA114" s="479"/>
      <c r="CB114" s="479"/>
      <c r="CC114" s="479"/>
    </row>
    <row r="115" spans="1:81" s="428" customFormat="1" ht="89.25" x14ac:dyDescent="0.25">
      <c r="A115" s="468">
        <v>11800</v>
      </c>
      <c r="B115" s="469" t="s">
        <v>5</v>
      </c>
      <c r="C115" s="470" t="s">
        <v>322</v>
      </c>
      <c r="D115" s="469" t="s">
        <v>256</v>
      </c>
      <c r="E115" s="470" t="s">
        <v>323</v>
      </c>
      <c r="F115" s="469" t="s">
        <v>159</v>
      </c>
      <c r="G115" s="471" t="s">
        <v>123</v>
      </c>
      <c r="H115" s="472">
        <v>1</v>
      </c>
      <c r="I115" s="470" t="s">
        <v>326</v>
      </c>
      <c r="J115" s="469" t="s">
        <v>874</v>
      </c>
      <c r="K115" s="473">
        <v>0</v>
      </c>
      <c r="L115" s="474">
        <v>1</v>
      </c>
      <c r="M115" s="469" t="s">
        <v>51</v>
      </c>
      <c r="N115" s="469" t="s">
        <v>68</v>
      </c>
      <c r="O115" s="469" t="s">
        <v>21</v>
      </c>
      <c r="P115" s="469" t="s">
        <v>36</v>
      </c>
      <c r="Q115" s="469" t="s">
        <v>75</v>
      </c>
      <c r="R115" s="469" t="s">
        <v>672</v>
      </c>
      <c r="S115" s="469" t="s">
        <v>98</v>
      </c>
      <c r="T115" s="474">
        <v>1</v>
      </c>
      <c r="U115" s="475" t="str">
        <f t="shared" si="62"/>
        <v xml:space="preserve">Formular los procesos y procedimientos en el marco del MIPG
</v>
      </c>
      <c r="V115" s="476">
        <f t="shared" si="63"/>
        <v>0</v>
      </c>
      <c r="W115" s="477" t="s">
        <v>117</v>
      </c>
      <c r="X115" s="472">
        <v>0</v>
      </c>
      <c r="Y115" s="484" t="str">
        <f t="shared" si="88"/>
        <v xml:space="preserve">Formular los procesos y procedimientos en el marco del MIPG
</v>
      </c>
      <c r="Z115" s="473">
        <v>0</v>
      </c>
      <c r="AA115" s="480">
        <v>0</v>
      </c>
      <c r="AB115" s="482">
        <v>0</v>
      </c>
      <c r="AC115" s="478" t="e">
        <f t="shared" si="41"/>
        <v>#DIV/0!</v>
      </c>
      <c r="AD115" s="478" t="e">
        <f t="shared" si="42"/>
        <v>#DIV/0!</v>
      </c>
      <c r="AE115" s="478">
        <f t="shared" si="43"/>
        <v>0</v>
      </c>
      <c r="AF115" s="478" t="e">
        <f t="shared" si="44"/>
        <v>#DIV/0!</v>
      </c>
      <c r="AG115" s="483" t="s">
        <v>1007</v>
      </c>
      <c r="AH115" s="472">
        <v>1</v>
      </c>
      <c r="AI115" s="484" t="str">
        <f t="shared" si="89"/>
        <v xml:space="preserve">Formular los procesos y procedimientos en el marco del MIPG
</v>
      </c>
      <c r="AJ115" s="473">
        <v>0</v>
      </c>
      <c r="AK115" s="655">
        <f>(2/2)*100%</f>
        <v>1</v>
      </c>
      <c r="AL115" s="616">
        <v>0</v>
      </c>
      <c r="AM115" s="478">
        <f t="shared" si="45"/>
        <v>1</v>
      </c>
      <c r="AN115" s="478" t="e">
        <f t="shared" si="46"/>
        <v>#DIV/0!</v>
      </c>
      <c r="AO115" s="478">
        <f t="shared" si="47"/>
        <v>1</v>
      </c>
      <c r="AP115" s="478" t="e">
        <f t="shared" si="48"/>
        <v>#DIV/0!</v>
      </c>
      <c r="AQ115" s="636" t="s">
        <v>1053</v>
      </c>
      <c r="AR115" s="472">
        <v>0</v>
      </c>
      <c r="AS115" s="484" t="str">
        <f>+U115</f>
        <v xml:space="preserve">Formular los procesos y procedimientos en el marco del MIPG
</v>
      </c>
      <c r="AT115" s="473">
        <v>0</v>
      </c>
      <c r="AU115" s="479"/>
      <c r="AV115" s="479"/>
      <c r="AW115" s="478" t="e">
        <f t="shared" si="49"/>
        <v>#DIV/0!</v>
      </c>
      <c r="AX115" s="478" t="e">
        <f t="shared" si="50"/>
        <v>#DIV/0!</v>
      </c>
      <c r="AY115" s="478">
        <f t="shared" si="51"/>
        <v>1</v>
      </c>
      <c r="AZ115" s="478" t="e">
        <f t="shared" si="52"/>
        <v>#DIV/0!</v>
      </c>
      <c r="BA115" s="478"/>
      <c r="BB115" s="472">
        <v>0</v>
      </c>
      <c r="BC115" s="484" t="str">
        <f t="shared" si="69"/>
        <v xml:space="preserve">Formular los procesos y procedimientos en el marco del MIPG
</v>
      </c>
      <c r="BD115" s="473">
        <v>0</v>
      </c>
      <c r="BE115" s="479"/>
      <c r="BF115" s="479"/>
      <c r="BG115" s="472" t="e">
        <f t="shared" si="64"/>
        <v>#DIV/0!</v>
      </c>
      <c r="BH115" s="472" t="e">
        <f t="shared" si="65"/>
        <v>#DIV/0!</v>
      </c>
      <c r="BI115" s="472">
        <f t="shared" si="66"/>
        <v>1</v>
      </c>
      <c r="BJ115" s="472" t="e">
        <f t="shared" si="67"/>
        <v>#DIV/0!</v>
      </c>
      <c r="BK115" s="472"/>
      <c r="BL115" s="533" t="str">
        <f t="shared" si="53"/>
        <v>No Prog ni Ejec</v>
      </c>
      <c r="BM115" s="533" t="str">
        <f t="shared" si="54"/>
        <v>No Prog ni Ejec</v>
      </c>
      <c r="BN115" s="533">
        <f t="shared" si="55"/>
        <v>1</v>
      </c>
      <c r="BO115" s="533" t="str">
        <f t="shared" si="56"/>
        <v>No Prog ni Ejec</v>
      </c>
      <c r="BP115" s="533" t="str">
        <f t="shared" si="57"/>
        <v>No Prog ni Ejec</v>
      </c>
      <c r="BQ115" s="533" t="str">
        <f t="shared" si="58"/>
        <v>No Prog ni Ejec</v>
      </c>
      <c r="BR115" s="533" t="str">
        <f t="shared" si="59"/>
        <v>No Prog ni Ejec</v>
      </c>
      <c r="BS115" s="533" t="str">
        <f t="shared" si="60"/>
        <v>No Prog ni Ejec</v>
      </c>
      <c r="BT115" s="480">
        <f t="shared" si="61"/>
        <v>1</v>
      </c>
      <c r="BU115" s="481" t="str">
        <f t="shared" si="87"/>
        <v xml:space="preserve">Formular los procesos y procedimientos en el marco del MIPG
</v>
      </c>
      <c r="BV115" s="482">
        <f t="shared" si="40"/>
        <v>0</v>
      </c>
      <c r="BW115" s="479"/>
      <c r="BX115" s="479"/>
      <c r="BY115" s="479"/>
      <c r="BZ115" s="479"/>
      <c r="CA115" s="479"/>
      <c r="CB115" s="479"/>
      <c r="CC115" s="479"/>
    </row>
    <row r="116" spans="1:81" s="428" customFormat="1" ht="89.25" x14ac:dyDescent="0.25">
      <c r="A116" s="468">
        <v>11800</v>
      </c>
      <c r="B116" s="469" t="s">
        <v>5</v>
      </c>
      <c r="C116" s="470" t="s">
        <v>322</v>
      </c>
      <c r="D116" s="469" t="s">
        <v>256</v>
      </c>
      <c r="E116" s="470" t="s">
        <v>325</v>
      </c>
      <c r="F116" s="469" t="s">
        <v>127</v>
      </c>
      <c r="G116" s="471" t="s">
        <v>123</v>
      </c>
      <c r="H116" s="474">
        <v>1</v>
      </c>
      <c r="I116" s="470" t="s">
        <v>327</v>
      </c>
      <c r="J116" s="469" t="s">
        <v>128</v>
      </c>
      <c r="K116" s="473">
        <v>0</v>
      </c>
      <c r="L116" s="474">
        <v>1</v>
      </c>
      <c r="M116" s="469" t="s">
        <v>51</v>
      </c>
      <c r="N116" s="469" t="s">
        <v>68</v>
      </c>
      <c r="O116" s="469" t="s">
        <v>21</v>
      </c>
      <c r="P116" s="469" t="s">
        <v>36</v>
      </c>
      <c r="Q116" s="469" t="s">
        <v>75</v>
      </c>
      <c r="R116" s="469" t="s">
        <v>570</v>
      </c>
      <c r="S116" s="469" t="s">
        <v>98</v>
      </c>
      <c r="T116" s="474">
        <v>1</v>
      </c>
      <c r="U116" s="475" t="str">
        <f t="shared" si="62"/>
        <v>Remitir informes trimestrales de los indicadores formulados y las acciones de mejoras</v>
      </c>
      <c r="V116" s="476">
        <f t="shared" si="63"/>
        <v>0</v>
      </c>
      <c r="W116" s="477" t="s">
        <v>117</v>
      </c>
      <c r="X116" s="472">
        <v>0</v>
      </c>
      <c r="Y116" s="484" t="str">
        <f t="shared" si="88"/>
        <v>Remitir informes trimestrales de los indicadores formulados y las acciones de mejoras</v>
      </c>
      <c r="Z116" s="473">
        <v>0</v>
      </c>
      <c r="AA116" s="480">
        <v>0</v>
      </c>
      <c r="AB116" s="482">
        <v>0</v>
      </c>
      <c r="AC116" s="478" t="e">
        <f t="shared" si="41"/>
        <v>#DIV/0!</v>
      </c>
      <c r="AD116" s="478" t="e">
        <f t="shared" si="42"/>
        <v>#DIV/0!</v>
      </c>
      <c r="AE116" s="478">
        <f t="shared" si="43"/>
        <v>0</v>
      </c>
      <c r="AF116" s="478" t="e">
        <f t="shared" si="44"/>
        <v>#DIV/0!</v>
      </c>
      <c r="AG116" s="483" t="s">
        <v>1008</v>
      </c>
      <c r="AH116" s="472">
        <v>0</v>
      </c>
      <c r="AI116" s="484" t="str">
        <f t="shared" si="89"/>
        <v>Remitir informes trimestrales de los indicadores formulados y las acciones de mejoras</v>
      </c>
      <c r="AJ116" s="473">
        <v>0</v>
      </c>
      <c r="AK116" s="655">
        <v>0</v>
      </c>
      <c r="AL116" s="616">
        <v>0</v>
      </c>
      <c r="AM116" s="478" t="e">
        <f t="shared" si="45"/>
        <v>#DIV/0!</v>
      </c>
      <c r="AN116" s="478" t="e">
        <f t="shared" si="46"/>
        <v>#DIV/0!</v>
      </c>
      <c r="AO116" s="478">
        <f t="shared" si="47"/>
        <v>0</v>
      </c>
      <c r="AP116" s="478" t="e">
        <f t="shared" si="48"/>
        <v>#DIV/0!</v>
      </c>
      <c r="AQ116" s="636" t="s">
        <v>1054</v>
      </c>
      <c r="AR116" s="472">
        <v>0.5</v>
      </c>
      <c r="AS116" s="484" t="str">
        <f>+U116</f>
        <v>Remitir informes trimestrales de los indicadores formulados y las acciones de mejoras</v>
      </c>
      <c r="AT116" s="473">
        <v>0</v>
      </c>
      <c r="AU116" s="479"/>
      <c r="AV116" s="479"/>
      <c r="AW116" s="478">
        <f t="shared" si="49"/>
        <v>0</v>
      </c>
      <c r="AX116" s="478" t="e">
        <f t="shared" si="50"/>
        <v>#DIV/0!</v>
      </c>
      <c r="AY116" s="478">
        <f t="shared" si="51"/>
        <v>0</v>
      </c>
      <c r="AZ116" s="478" t="e">
        <f t="shared" si="52"/>
        <v>#DIV/0!</v>
      </c>
      <c r="BA116" s="478"/>
      <c r="BB116" s="472">
        <v>0.5</v>
      </c>
      <c r="BC116" s="484" t="str">
        <f t="shared" si="69"/>
        <v>Remitir informes trimestrales de los indicadores formulados y las acciones de mejoras</v>
      </c>
      <c r="BD116" s="473">
        <v>0</v>
      </c>
      <c r="BE116" s="479"/>
      <c r="BF116" s="479"/>
      <c r="BG116" s="472">
        <f t="shared" si="64"/>
        <v>0</v>
      </c>
      <c r="BH116" s="472" t="e">
        <f t="shared" si="65"/>
        <v>#DIV/0!</v>
      </c>
      <c r="BI116" s="472">
        <f t="shared" si="66"/>
        <v>0</v>
      </c>
      <c r="BJ116" s="472" t="e">
        <f t="shared" si="67"/>
        <v>#DIV/0!</v>
      </c>
      <c r="BK116" s="472"/>
      <c r="BL116" s="533" t="str">
        <f t="shared" si="53"/>
        <v>No Prog ni Ejec</v>
      </c>
      <c r="BM116" s="533" t="str">
        <f t="shared" si="54"/>
        <v>No Prog ni Ejec</v>
      </c>
      <c r="BN116" s="533" t="str">
        <f t="shared" si="55"/>
        <v>No Prog ni Ejec</v>
      </c>
      <c r="BO116" s="533" t="str">
        <f t="shared" si="56"/>
        <v>No Prog ni Ejec</v>
      </c>
      <c r="BP116" s="533">
        <f t="shared" si="57"/>
        <v>0</v>
      </c>
      <c r="BQ116" s="533" t="str">
        <f t="shared" si="58"/>
        <v>No Prog ni Ejec</v>
      </c>
      <c r="BR116" s="533">
        <f t="shared" si="59"/>
        <v>0</v>
      </c>
      <c r="BS116" s="533" t="str">
        <f t="shared" si="60"/>
        <v>No Prog ni Ejec</v>
      </c>
      <c r="BT116" s="480">
        <f t="shared" si="61"/>
        <v>0.16666666666666666</v>
      </c>
      <c r="BU116" s="481" t="str">
        <f t="shared" si="87"/>
        <v>Remitir informes trimestrales de los indicadores formulados y las acciones de mejoras</v>
      </c>
      <c r="BV116" s="482">
        <f t="shared" si="40"/>
        <v>0</v>
      </c>
      <c r="BW116" s="479"/>
      <c r="BX116" s="479"/>
      <c r="BY116" s="479"/>
      <c r="BZ116" s="479"/>
      <c r="CA116" s="479"/>
      <c r="CB116" s="479"/>
      <c r="CC116" s="479"/>
    </row>
    <row r="117" spans="1:81" s="428" customFormat="1" ht="114.75" x14ac:dyDescent="0.25">
      <c r="A117" s="468">
        <v>11800</v>
      </c>
      <c r="B117" s="469" t="s">
        <v>5</v>
      </c>
      <c r="C117" s="470" t="s">
        <v>333</v>
      </c>
      <c r="D117" s="469" t="s">
        <v>256</v>
      </c>
      <c r="E117" s="470" t="s">
        <v>324</v>
      </c>
      <c r="F117" s="469" t="s">
        <v>871</v>
      </c>
      <c r="G117" s="471" t="s">
        <v>123</v>
      </c>
      <c r="H117" s="527">
        <v>1</v>
      </c>
      <c r="I117" s="470" t="s">
        <v>339</v>
      </c>
      <c r="J117" s="469" t="s">
        <v>872</v>
      </c>
      <c r="K117" s="473">
        <v>0</v>
      </c>
      <c r="L117" s="474">
        <v>1</v>
      </c>
      <c r="M117" s="469" t="s">
        <v>50</v>
      </c>
      <c r="N117" s="469" t="s">
        <v>64</v>
      </c>
      <c r="O117" s="469" t="s">
        <v>37</v>
      </c>
      <c r="P117" s="469" t="s">
        <v>39</v>
      </c>
      <c r="Q117" s="469" t="s">
        <v>230</v>
      </c>
      <c r="R117" s="469" t="s">
        <v>873</v>
      </c>
      <c r="S117" s="469" t="s">
        <v>105</v>
      </c>
      <c r="T117" s="474">
        <v>1</v>
      </c>
      <c r="U117" s="475" t="str">
        <f>+J117</f>
        <v>Realizar las auditorías internas , al Control Interno y otros informes , de acuerdo a lo programado para la vigencia. Plan Anual Auditorias</v>
      </c>
      <c r="V117" s="476">
        <f t="shared" si="63"/>
        <v>0</v>
      </c>
      <c r="W117" s="477" t="s">
        <v>117</v>
      </c>
      <c r="X117" s="472">
        <v>0</v>
      </c>
      <c r="Y117" s="484" t="str">
        <f t="shared" si="88"/>
        <v>Realizar las auditorías internas , al Control Interno y otros informes , de acuerdo a lo programado para la vigencia. Plan Anual Auditorias</v>
      </c>
      <c r="Z117" s="473">
        <v>0</v>
      </c>
      <c r="AA117" s="480">
        <v>0</v>
      </c>
      <c r="AB117" s="482">
        <v>0</v>
      </c>
      <c r="AC117" s="478" t="e">
        <f t="shared" si="41"/>
        <v>#DIV/0!</v>
      </c>
      <c r="AD117" s="478" t="e">
        <f t="shared" si="42"/>
        <v>#DIV/0!</v>
      </c>
      <c r="AE117" s="478">
        <f t="shared" si="43"/>
        <v>0</v>
      </c>
      <c r="AF117" s="478" t="e">
        <f t="shared" si="44"/>
        <v>#DIV/0!</v>
      </c>
      <c r="AG117" s="483" t="s">
        <v>1009</v>
      </c>
      <c r="AH117" s="472">
        <v>0.25</v>
      </c>
      <c r="AI117" s="484" t="str">
        <f t="shared" si="89"/>
        <v>Realizar las auditorías internas , al Control Interno y otros informes , de acuerdo a lo programado para la vigencia. Plan Anual Auditorias</v>
      </c>
      <c r="AJ117" s="473">
        <v>0</v>
      </c>
      <c r="AK117" s="655">
        <f>(2/8)*100%</f>
        <v>0.25</v>
      </c>
      <c r="AL117" s="616">
        <v>0</v>
      </c>
      <c r="AM117" s="478">
        <f t="shared" si="45"/>
        <v>1</v>
      </c>
      <c r="AN117" s="478" t="e">
        <f t="shared" si="46"/>
        <v>#DIV/0!</v>
      </c>
      <c r="AO117" s="478">
        <f t="shared" si="47"/>
        <v>0.25</v>
      </c>
      <c r="AP117" s="478" t="e">
        <f t="shared" si="48"/>
        <v>#DIV/0!</v>
      </c>
      <c r="AQ117" s="624" t="s">
        <v>1055</v>
      </c>
      <c r="AR117" s="472">
        <v>0.25</v>
      </c>
      <c r="AS117" s="484" t="str">
        <f>+U117</f>
        <v>Realizar las auditorías internas , al Control Interno y otros informes , de acuerdo a lo programado para la vigencia. Plan Anual Auditorias</v>
      </c>
      <c r="AT117" s="473">
        <v>0</v>
      </c>
      <c r="AU117" s="479"/>
      <c r="AV117" s="479"/>
      <c r="AW117" s="478">
        <f t="shared" si="49"/>
        <v>0</v>
      </c>
      <c r="AX117" s="478" t="e">
        <f t="shared" si="50"/>
        <v>#DIV/0!</v>
      </c>
      <c r="AY117" s="478">
        <f t="shared" si="51"/>
        <v>0.25</v>
      </c>
      <c r="AZ117" s="478" t="e">
        <f t="shared" si="52"/>
        <v>#DIV/0!</v>
      </c>
      <c r="BA117" s="478"/>
      <c r="BB117" s="472">
        <v>0.5</v>
      </c>
      <c r="BC117" s="484" t="str">
        <f t="shared" si="69"/>
        <v>Realizar las auditorías internas , al Control Interno y otros informes , de acuerdo a lo programado para la vigencia. Plan Anual Auditorias</v>
      </c>
      <c r="BD117" s="473">
        <v>0</v>
      </c>
      <c r="BE117" s="479"/>
      <c r="BF117" s="479"/>
      <c r="BG117" s="472">
        <f t="shared" si="64"/>
        <v>0</v>
      </c>
      <c r="BH117" s="472" t="e">
        <f t="shared" si="65"/>
        <v>#DIV/0!</v>
      </c>
      <c r="BI117" s="472">
        <f t="shared" si="66"/>
        <v>0.25</v>
      </c>
      <c r="BJ117" s="472" t="e">
        <f t="shared" si="67"/>
        <v>#DIV/0!</v>
      </c>
      <c r="BK117" s="472"/>
      <c r="BL117" s="533" t="str">
        <f t="shared" si="53"/>
        <v>No Prog ni Ejec</v>
      </c>
      <c r="BM117" s="533" t="str">
        <f t="shared" si="54"/>
        <v>No Prog ni Ejec</v>
      </c>
      <c r="BN117" s="533">
        <f t="shared" si="55"/>
        <v>1</v>
      </c>
      <c r="BO117" s="533" t="str">
        <f t="shared" si="56"/>
        <v>No Prog ni Ejec</v>
      </c>
      <c r="BP117" s="533">
        <f t="shared" si="57"/>
        <v>0</v>
      </c>
      <c r="BQ117" s="533" t="str">
        <f t="shared" si="58"/>
        <v>No Prog ni Ejec</v>
      </c>
      <c r="BR117" s="533">
        <f t="shared" si="59"/>
        <v>0</v>
      </c>
      <c r="BS117" s="533" t="str">
        <f t="shared" si="60"/>
        <v>No Prog ni Ejec</v>
      </c>
      <c r="BT117" s="480">
        <f t="shared" si="61"/>
        <v>0.33333333333333331</v>
      </c>
      <c r="BU117" s="481" t="str">
        <f t="shared" si="87"/>
        <v>Realizar las auditorías internas , al Control Interno y otros informes , de acuerdo a lo programado para la vigencia. Plan Anual Auditorias</v>
      </c>
      <c r="BV117" s="482">
        <f t="shared" si="40"/>
        <v>0</v>
      </c>
      <c r="BW117" s="479"/>
      <c r="BX117" s="479"/>
      <c r="BY117" s="479"/>
      <c r="BZ117" s="479"/>
      <c r="CA117" s="479"/>
      <c r="CB117" s="479"/>
      <c r="CC117" s="479"/>
    </row>
    <row r="118" spans="1:81" s="428" customFormat="1" ht="382.5" x14ac:dyDescent="0.25">
      <c r="A118" s="468">
        <v>11800</v>
      </c>
      <c r="B118" s="469" t="s">
        <v>5</v>
      </c>
      <c r="C118" s="470" t="s">
        <v>345</v>
      </c>
      <c r="D118" s="469" t="s">
        <v>256</v>
      </c>
      <c r="E118" s="470" t="s">
        <v>552</v>
      </c>
      <c r="F118" s="469" t="s">
        <v>679</v>
      </c>
      <c r="G118" s="471" t="s">
        <v>123</v>
      </c>
      <c r="H118" s="527">
        <v>1</v>
      </c>
      <c r="I118" s="470" t="s">
        <v>553</v>
      </c>
      <c r="J118" s="469" t="s">
        <v>335</v>
      </c>
      <c r="K118" s="473">
        <v>0</v>
      </c>
      <c r="L118" s="474">
        <v>1</v>
      </c>
      <c r="M118" s="469" t="s">
        <v>50</v>
      </c>
      <c r="N118" s="469" t="s">
        <v>64</v>
      </c>
      <c r="O118" s="469" t="s">
        <v>37</v>
      </c>
      <c r="P118" s="469" t="s">
        <v>39</v>
      </c>
      <c r="Q118" s="469" t="s">
        <v>230</v>
      </c>
      <c r="R118" s="469" t="s">
        <v>343</v>
      </c>
      <c r="S118" s="469" t="s">
        <v>105</v>
      </c>
      <c r="T118" s="474">
        <v>1</v>
      </c>
      <c r="U118" s="475" t="str">
        <f t="shared" si="62"/>
        <v>Dar respuesta a requerimientos de carácter interno en el marco de la normatividad vigente</v>
      </c>
      <c r="V118" s="476">
        <f t="shared" si="63"/>
        <v>0</v>
      </c>
      <c r="W118" s="477" t="s">
        <v>117</v>
      </c>
      <c r="X118" s="472">
        <v>0.28000000000000003</v>
      </c>
      <c r="Y118" s="484" t="str">
        <f>+U118</f>
        <v>Dar respuesta a requerimientos de carácter interno en el marco de la normatividad vigente</v>
      </c>
      <c r="Z118" s="473">
        <v>0</v>
      </c>
      <c r="AA118" s="556">
        <v>0.28000000000000003</v>
      </c>
      <c r="AB118" s="482">
        <v>0</v>
      </c>
      <c r="AC118" s="478">
        <f t="shared" si="41"/>
        <v>1</v>
      </c>
      <c r="AD118" s="478" t="e">
        <f t="shared" si="42"/>
        <v>#DIV/0!</v>
      </c>
      <c r="AE118" s="478">
        <f t="shared" si="43"/>
        <v>0.28000000000000003</v>
      </c>
      <c r="AF118" s="478" t="e">
        <f t="shared" si="44"/>
        <v>#DIV/0!</v>
      </c>
      <c r="AG118" s="483" t="s">
        <v>1010</v>
      </c>
      <c r="AH118" s="472">
        <v>0.28000000000000003</v>
      </c>
      <c r="AI118" s="484" t="str">
        <f t="shared" si="89"/>
        <v>Dar respuesta a requerimientos de carácter interno en el marco de la normatividad vigente</v>
      </c>
      <c r="AJ118" s="473">
        <v>0</v>
      </c>
      <c r="AK118" s="745">
        <f>(5/18)*100%</f>
        <v>0.27777777777777779</v>
      </c>
      <c r="AL118" s="616">
        <v>0</v>
      </c>
      <c r="AM118" s="478">
        <f>+(AK118/AH118)</f>
        <v>0.99206349206349198</v>
      </c>
      <c r="AN118" s="478" t="e">
        <f t="shared" si="46"/>
        <v>#DIV/0!</v>
      </c>
      <c r="AO118" s="478">
        <f t="shared" si="47"/>
        <v>0.55777777777777782</v>
      </c>
      <c r="AP118" s="478" t="e">
        <f t="shared" si="48"/>
        <v>#DIV/0!</v>
      </c>
      <c r="AQ118" s="624" t="s">
        <v>1056</v>
      </c>
      <c r="AR118" s="472">
        <v>0.17</v>
      </c>
      <c r="AS118" s="484" t="str">
        <f>+U118</f>
        <v>Dar respuesta a requerimientos de carácter interno en el marco de la normatividad vigente</v>
      </c>
      <c r="AT118" s="473">
        <v>0</v>
      </c>
      <c r="AU118" s="479"/>
      <c r="AV118" s="479"/>
      <c r="AW118" s="478">
        <f t="shared" si="49"/>
        <v>0</v>
      </c>
      <c r="AX118" s="478" t="e">
        <f t="shared" si="50"/>
        <v>#DIV/0!</v>
      </c>
      <c r="AY118" s="478">
        <f t="shared" si="51"/>
        <v>0.55777777777777782</v>
      </c>
      <c r="AZ118" s="478" t="e">
        <f t="shared" si="52"/>
        <v>#DIV/0!</v>
      </c>
      <c r="BA118" s="478"/>
      <c r="BB118" s="472">
        <v>0.28000000000000003</v>
      </c>
      <c r="BC118" s="484" t="str">
        <f t="shared" si="69"/>
        <v>Dar respuesta a requerimientos de carácter interno en el marco de la normatividad vigente</v>
      </c>
      <c r="BD118" s="473">
        <v>0</v>
      </c>
      <c r="BE118" s="479"/>
      <c r="BF118" s="479"/>
      <c r="BG118" s="472">
        <f t="shared" si="64"/>
        <v>0</v>
      </c>
      <c r="BH118" s="472" t="e">
        <f t="shared" si="65"/>
        <v>#DIV/0!</v>
      </c>
      <c r="BI118" s="472">
        <f t="shared" si="66"/>
        <v>0.55777777777777782</v>
      </c>
      <c r="BJ118" s="472" t="e">
        <f t="shared" si="67"/>
        <v>#DIV/0!</v>
      </c>
      <c r="BK118" s="472"/>
      <c r="BL118" s="533">
        <f t="shared" si="53"/>
        <v>1</v>
      </c>
      <c r="BM118" s="533" t="str">
        <f t="shared" si="54"/>
        <v>No Prog ni Ejec</v>
      </c>
      <c r="BN118" s="533">
        <f t="shared" si="55"/>
        <v>0.99206349206349198</v>
      </c>
      <c r="BO118" s="533" t="str">
        <f t="shared" si="56"/>
        <v>No Prog ni Ejec</v>
      </c>
      <c r="BP118" s="533">
        <f t="shared" si="57"/>
        <v>0</v>
      </c>
      <c r="BQ118" s="533" t="str">
        <f t="shared" si="58"/>
        <v>No Prog ni Ejec</v>
      </c>
      <c r="BR118" s="533">
        <f t="shared" si="59"/>
        <v>0</v>
      </c>
      <c r="BS118" s="533" t="str">
        <f t="shared" si="60"/>
        <v>No Prog ni Ejec</v>
      </c>
      <c r="BT118" s="480">
        <f t="shared" si="61"/>
        <v>0.6166666666666667</v>
      </c>
      <c r="BU118" s="481" t="str">
        <f t="shared" si="87"/>
        <v>Dar respuesta a requerimientos de carácter interno en el marco de la normatividad vigente</v>
      </c>
      <c r="BV118" s="482">
        <f t="shared" si="40"/>
        <v>0</v>
      </c>
      <c r="BW118" s="479"/>
      <c r="BX118" s="479"/>
      <c r="BY118" s="479"/>
      <c r="BZ118" s="479"/>
      <c r="CA118" s="479"/>
      <c r="CB118" s="479"/>
      <c r="CC118" s="479"/>
    </row>
    <row r="119" spans="1:81" s="428" customFormat="1" ht="409.5" x14ac:dyDescent="0.25">
      <c r="A119" s="468">
        <v>11800</v>
      </c>
      <c r="B119" s="469" t="s">
        <v>5</v>
      </c>
      <c r="C119" s="470" t="s">
        <v>346</v>
      </c>
      <c r="D119" s="469" t="s">
        <v>256</v>
      </c>
      <c r="E119" s="470" t="s">
        <v>554</v>
      </c>
      <c r="F119" s="469" t="s">
        <v>680</v>
      </c>
      <c r="G119" s="471" t="s">
        <v>123</v>
      </c>
      <c r="H119" s="527">
        <v>1</v>
      </c>
      <c r="I119" s="470" t="s">
        <v>555</v>
      </c>
      <c r="J119" s="469" t="s">
        <v>336</v>
      </c>
      <c r="K119" s="473">
        <v>0</v>
      </c>
      <c r="L119" s="474">
        <v>1</v>
      </c>
      <c r="M119" s="469" t="s">
        <v>50</v>
      </c>
      <c r="N119" s="469" t="s">
        <v>64</v>
      </c>
      <c r="O119" s="469" t="s">
        <v>37</v>
      </c>
      <c r="P119" s="469" t="s">
        <v>39</v>
      </c>
      <c r="Q119" s="469" t="s">
        <v>230</v>
      </c>
      <c r="R119" s="469" t="s">
        <v>344</v>
      </c>
      <c r="S119" s="469" t="s">
        <v>105</v>
      </c>
      <c r="T119" s="474">
        <v>1</v>
      </c>
      <c r="U119" s="475" t="str">
        <f t="shared" si="62"/>
        <v>Dar respuesta a requerimientos de organismos externos en el marco de la normatividad vigente</v>
      </c>
      <c r="V119" s="476">
        <f t="shared" si="63"/>
        <v>0</v>
      </c>
      <c r="W119" s="477" t="s">
        <v>117</v>
      </c>
      <c r="X119" s="472">
        <v>0.53</v>
      </c>
      <c r="Y119" s="484" t="str">
        <f>+U119</f>
        <v>Dar respuesta a requerimientos de organismos externos en el marco de la normatividad vigente</v>
      </c>
      <c r="Z119" s="473">
        <v>0</v>
      </c>
      <c r="AA119" s="571">
        <v>0.47</v>
      </c>
      <c r="AB119" s="482">
        <v>0</v>
      </c>
      <c r="AC119" s="478">
        <f t="shared" si="41"/>
        <v>0.88679245283018859</v>
      </c>
      <c r="AD119" s="478" t="e">
        <f t="shared" si="42"/>
        <v>#DIV/0!</v>
      </c>
      <c r="AE119" s="478">
        <f t="shared" si="43"/>
        <v>0.47</v>
      </c>
      <c r="AF119" s="478" t="e">
        <f t="shared" si="44"/>
        <v>#DIV/0!</v>
      </c>
      <c r="AG119" s="483" t="s">
        <v>1011</v>
      </c>
      <c r="AH119" s="472">
        <v>0.12</v>
      </c>
      <c r="AI119" s="484" t="str">
        <f>+U119</f>
        <v>Dar respuesta a requerimientos de organismos externos en el marco de la normatividad vigente</v>
      </c>
      <c r="AJ119" s="473">
        <v>0</v>
      </c>
      <c r="AK119" s="655">
        <f>3/17</f>
        <v>0.17647058823529413</v>
      </c>
      <c r="AL119" s="616">
        <v>0</v>
      </c>
      <c r="AM119" s="478">
        <f>+(AK119/AH119)</f>
        <v>1.4705882352941178</v>
      </c>
      <c r="AN119" s="478" t="e">
        <f t="shared" si="46"/>
        <v>#DIV/0!</v>
      </c>
      <c r="AO119" s="478">
        <f>+(AK119+AA119)/T119</f>
        <v>0.64647058823529413</v>
      </c>
      <c r="AP119" s="478" t="e">
        <f t="shared" si="48"/>
        <v>#DIV/0!</v>
      </c>
      <c r="AQ119" s="656" t="s">
        <v>1057</v>
      </c>
      <c r="AR119" s="472">
        <v>0.24</v>
      </c>
      <c r="AS119" s="484" t="str">
        <f>+U119</f>
        <v>Dar respuesta a requerimientos de organismos externos en el marco de la normatividad vigente</v>
      </c>
      <c r="AT119" s="473">
        <v>0</v>
      </c>
      <c r="AU119" s="479"/>
      <c r="AV119" s="479"/>
      <c r="AW119" s="478">
        <f t="shared" si="49"/>
        <v>0</v>
      </c>
      <c r="AX119" s="478" t="e">
        <f t="shared" si="50"/>
        <v>#DIV/0!</v>
      </c>
      <c r="AY119" s="478">
        <f t="shared" si="51"/>
        <v>0.64647058823529413</v>
      </c>
      <c r="AZ119" s="478" t="e">
        <f t="shared" si="52"/>
        <v>#DIV/0!</v>
      </c>
      <c r="BA119" s="478"/>
      <c r="BB119" s="472">
        <v>0.12</v>
      </c>
      <c r="BC119" s="484" t="str">
        <f t="shared" si="69"/>
        <v>Dar respuesta a requerimientos de organismos externos en el marco de la normatividad vigente</v>
      </c>
      <c r="BD119" s="473">
        <v>0</v>
      </c>
      <c r="BE119" s="479"/>
      <c r="BF119" s="479"/>
      <c r="BG119" s="472">
        <f t="shared" si="64"/>
        <v>0</v>
      </c>
      <c r="BH119" s="472" t="e">
        <f t="shared" si="65"/>
        <v>#DIV/0!</v>
      </c>
      <c r="BI119" s="472">
        <f t="shared" si="66"/>
        <v>0.64647058823529413</v>
      </c>
      <c r="BJ119" s="472" t="e">
        <f t="shared" si="67"/>
        <v>#DIV/0!</v>
      </c>
      <c r="BK119" s="472"/>
      <c r="BL119" s="533">
        <f t="shared" si="53"/>
        <v>0.88679245283018859</v>
      </c>
      <c r="BM119" s="533" t="str">
        <f t="shared" si="54"/>
        <v>No Prog ni Ejec</v>
      </c>
      <c r="BN119" s="533">
        <f t="shared" si="55"/>
        <v>1.4705882352941178</v>
      </c>
      <c r="BO119" s="533" t="str">
        <f t="shared" si="56"/>
        <v>No Prog ni Ejec</v>
      </c>
      <c r="BP119" s="533">
        <f t="shared" si="57"/>
        <v>0</v>
      </c>
      <c r="BQ119" s="533" t="str">
        <f t="shared" si="58"/>
        <v>No Prog ni Ejec</v>
      </c>
      <c r="BR119" s="533">
        <f t="shared" si="59"/>
        <v>0</v>
      </c>
      <c r="BS119" s="533" t="str">
        <f t="shared" si="60"/>
        <v>No Prog ni Ejec</v>
      </c>
      <c r="BT119" s="480">
        <f t="shared" si="61"/>
        <v>0.73</v>
      </c>
      <c r="BU119" s="481" t="str">
        <f t="shared" si="87"/>
        <v>Dar respuesta a requerimientos de organismos externos en el marco de la normatividad vigente</v>
      </c>
      <c r="BV119" s="482">
        <f t="shared" si="40"/>
        <v>0</v>
      </c>
      <c r="BW119" s="479"/>
      <c r="BX119" s="479"/>
      <c r="BY119" s="479"/>
      <c r="BZ119" s="479"/>
      <c r="CA119" s="479"/>
      <c r="CB119" s="479"/>
      <c r="CC119" s="479"/>
    </row>
    <row r="120" spans="1:81" s="428" customFormat="1" ht="114.75" x14ac:dyDescent="0.25">
      <c r="A120" s="468">
        <v>11800</v>
      </c>
      <c r="B120" s="469" t="s">
        <v>5</v>
      </c>
      <c r="C120" s="470" t="s">
        <v>347</v>
      </c>
      <c r="D120" s="469" t="s">
        <v>256</v>
      </c>
      <c r="E120" s="470" t="s">
        <v>556</v>
      </c>
      <c r="F120" s="469" t="s">
        <v>681</v>
      </c>
      <c r="G120" s="471" t="s">
        <v>123</v>
      </c>
      <c r="H120" s="527">
        <v>1</v>
      </c>
      <c r="I120" s="470" t="s">
        <v>558</v>
      </c>
      <c r="J120" s="469" t="s">
        <v>337</v>
      </c>
      <c r="K120" s="473">
        <v>0</v>
      </c>
      <c r="L120" s="474">
        <v>1</v>
      </c>
      <c r="M120" s="469" t="s">
        <v>50</v>
      </c>
      <c r="N120" s="469" t="s">
        <v>64</v>
      </c>
      <c r="O120" s="469" t="s">
        <v>37</v>
      </c>
      <c r="P120" s="469" t="s">
        <v>39</v>
      </c>
      <c r="Q120" s="469" t="s">
        <v>230</v>
      </c>
      <c r="R120" s="469" t="s">
        <v>340</v>
      </c>
      <c r="S120" s="469" t="s">
        <v>105</v>
      </c>
      <c r="T120" s="474">
        <v>1</v>
      </c>
      <c r="U120" s="475" t="str">
        <f t="shared" si="62"/>
        <v>Medir el grado de cumplimiento de las acciones que hacen parte del Plan de mejoramiento institucional derivadas de la Auditoría de la CGR.</v>
      </c>
      <c r="V120" s="476">
        <f t="shared" si="63"/>
        <v>0</v>
      </c>
      <c r="W120" s="477" t="s">
        <v>117</v>
      </c>
      <c r="X120" s="472">
        <v>0.5</v>
      </c>
      <c r="Y120" s="484" t="str">
        <f>+U120</f>
        <v>Medir el grado de cumplimiento de las acciones que hacen parte del Plan de mejoramiento institucional derivadas de la Auditoría de la CGR.</v>
      </c>
      <c r="Z120" s="473">
        <v>0</v>
      </c>
      <c r="AA120" s="480">
        <v>0.5</v>
      </c>
      <c r="AB120" s="482">
        <v>0</v>
      </c>
      <c r="AC120" s="478">
        <f t="shared" si="41"/>
        <v>1</v>
      </c>
      <c r="AD120" s="478" t="e">
        <f t="shared" si="42"/>
        <v>#DIV/0!</v>
      </c>
      <c r="AE120" s="478">
        <f t="shared" si="43"/>
        <v>0.5</v>
      </c>
      <c r="AF120" s="478" t="e">
        <f t="shared" si="44"/>
        <v>#DIV/0!</v>
      </c>
      <c r="AG120" s="483" t="s">
        <v>1012</v>
      </c>
      <c r="AH120" s="472">
        <v>0</v>
      </c>
      <c r="AI120" s="484" t="str">
        <f>+U120</f>
        <v>Medir el grado de cumplimiento de las acciones que hacen parte del Plan de mejoramiento institucional derivadas de la Auditoría de la CGR.</v>
      </c>
      <c r="AJ120" s="473">
        <v>0</v>
      </c>
      <c r="AK120" s="653">
        <v>0</v>
      </c>
      <c r="AL120" s="616">
        <v>0</v>
      </c>
      <c r="AM120" s="478" t="e">
        <f t="shared" si="45"/>
        <v>#DIV/0!</v>
      </c>
      <c r="AN120" s="478" t="e">
        <f t="shared" si="46"/>
        <v>#DIV/0!</v>
      </c>
      <c r="AO120" s="478">
        <f t="shared" si="47"/>
        <v>0.5</v>
      </c>
      <c r="AP120" s="478" t="e">
        <f t="shared" si="48"/>
        <v>#DIV/0!</v>
      </c>
      <c r="AQ120" s="624" t="s">
        <v>1058</v>
      </c>
      <c r="AR120" s="472">
        <v>0.5</v>
      </c>
      <c r="AS120" s="484" t="str">
        <f>+U120</f>
        <v>Medir el grado de cumplimiento de las acciones que hacen parte del Plan de mejoramiento institucional derivadas de la Auditoría de la CGR.</v>
      </c>
      <c r="AT120" s="473">
        <v>0</v>
      </c>
      <c r="AU120" s="479"/>
      <c r="AV120" s="479"/>
      <c r="AW120" s="478">
        <f t="shared" si="49"/>
        <v>0</v>
      </c>
      <c r="AX120" s="478" t="e">
        <f t="shared" si="50"/>
        <v>#DIV/0!</v>
      </c>
      <c r="AY120" s="478">
        <f t="shared" si="51"/>
        <v>0.5</v>
      </c>
      <c r="AZ120" s="478" t="e">
        <f t="shared" si="52"/>
        <v>#DIV/0!</v>
      </c>
      <c r="BA120" s="478"/>
      <c r="BB120" s="472">
        <v>0</v>
      </c>
      <c r="BC120" s="484" t="str">
        <f>+U120</f>
        <v>Medir el grado de cumplimiento de las acciones que hacen parte del Plan de mejoramiento institucional derivadas de la Auditoría de la CGR.</v>
      </c>
      <c r="BD120" s="473">
        <v>0</v>
      </c>
      <c r="BE120" s="479"/>
      <c r="BF120" s="479"/>
      <c r="BG120" s="472" t="e">
        <f t="shared" si="64"/>
        <v>#DIV/0!</v>
      </c>
      <c r="BH120" s="472" t="e">
        <f t="shared" si="65"/>
        <v>#DIV/0!</v>
      </c>
      <c r="BI120" s="472">
        <f t="shared" si="66"/>
        <v>0.5</v>
      </c>
      <c r="BJ120" s="472" t="e">
        <f t="shared" si="67"/>
        <v>#DIV/0!</v>
      </c>
      <c r="BK120" s="472"/>
      <c r="BL120" s="533">
        <f t="shared" si="53"/>
        <v>1</v>
      </c>
      <c r="BM120" s="533" t="str">
        <f t="shared" si="54"/>
        <v>No Prog ni Ejec</v>
      </c>
      <c r="BN120" s="533" t="str">
        <f t="shared" si="55"/>
        <v>No Prog ni Ejec</v>
      </c>
      <c r="BO120" s="533" t="str">
        <f t="shared" si="56"/>
        <v>No Prog ni Ejec</v>
      </c>
      <c r="BP120" s="533">
        <f t="shared" si="57"/>
        <v>0</v>
      </c>
      <c r="BQ120" s="533" t="str">
        <f t="shared" si="58"/>
        <v>No Prog ni Ejec</v>
      </c>
      <c r="BR120" s="533" t="str">
        <f t="shared" si="59"/>
        <v>No Prog ni Ejec</v>
      </c>
      <c r="BS120" s="533" t="str">
        <f t="shared" si="60"/>
        <v>No Prog ni Ejec</v>
      </c>
      <c r="BT120" s="480">
        <f t="shared" si="61"/>
        <v>0.66666666666666663</v>
      </c>
      <c r="BU120" s="481" t="str">
        <f t="shared" si="87"/>
        <v>Medir el grado de cumplimiento de las acciones que hacen parte del Plan de mejoramiento institucional derivadas de la Auditoría de la CGR.</v>
      </c>
      <c r="BV120" s="482">
        <f t="shared" si="40"/>
        <v>0</v>
      </c>
      <c r="BW120" s="479"/>
      <c r="BX120" s="479"/>
      <c r="BY120" s="479"/>
      <c r="BZ120" s="479"/>
      <c r="CA120" s="479"/>
      <c r="CB120" s="479"/>
      <c r="CC120" s="479"/>
    </row>
    <row r="121" spans="1:81" s="428" customFormat="1" ht="89.25" x14ac:dyDescent="0.25">
      <c r="A121" s="468">
        <v>11800</v>
      </c>
      <c r="B121" s="469" t="s">
        <v>5</v>
      </c>
      <c r="C121" s="470" t="s">
        <v>348</v>
      </c>
      <c r="D121" s="469" t="s">
        <v>256</v>
      </c>
      <c r="E121" s="470" t="s">
        <v>557</v>
      </c>
      <c r="F121" s="469" t="s">
        <v>682</v>
      </c>
      <c r="G121" s="471" t="s">
        <v>123</v>
      </c>
      <c r="H121" s="527">
        <v>1</v>
      </c>
      <c r="I121" s="470" t="s">
        <v>559</v>
      </c>
      <c r="J121" s="469" t="s">
        <v>338</v>
      </c>
      <c r="K121" s="473">
        <v>0</v>
      </c>
      <c r="L121" s="474">
        <v>1</v>
      </c>
      <c r="M121" s="469" t="s">
        <v>51</v>
      </c>
      <c r="N121" s="469" t="s">
        <v>56</v>
      </c>
      <c r="O121" s="469" t="s">
        <v>21</v>
      </c>
      <c r="P121" s="469" t="s">
        <v>23</v>
      </c>
      <c r="Q121" s="469" t="s">
        <v>230</v>
      </c>
      <c r="R121" s="469" t="s">
        <v>341</v>
      </c>
      <c r="S121" s="469" t="s">
        <v>105</v>
      </c>
      <c r="T121" s="474">
        <v>1</v>
      </c>
      <c r="U121" s="475" t="str">
        <f t="shared" si="62"/>
        <v>Comunicar mensajes con contenidos de autocontrol y de esta manera fomentar la cultura del autocontrol en la ADRES.</v>
      </c>
      <c r="V121" s="476">
        <f t="shared" si="63"/>
        <v>0</v>
      </c>
      <c r="W121" s="477" t="s">
        <v>117</v>
      </c>
      <c r="X121" s="472">
        <v>0.25</v>
      </c>
      <c r="Y121" s="484" t="str">
        <f>+U121</f>
        <v>Comunicar mensajes con contenidos de autocontrol y de esta manera fomentar la cultura del autocontrol en la ADRES.</v>
      </c>
      <c r="Z121" s="473">
        <v>0</v>
      </c>
      <c r="AA121" s="556">
        <v>0.25</v>
      </c>
      <c r="AB121" s="482">
        <v>0</v>
      </c>
      <c r="AC121" s="478">
        <f t="shared" si="41"/>
        <v>1</v>
      </c>
      <c r="AD121" s="478" t="e">
        <f t="shared" si="42"/>
        <v>#DIV/0!</v>
      </c>
      <c r="AE121" s="478">
        <f t="shared" si="43"/>
        <v>0.25</v>
      </c>
      <c r="AF121" s="478" t="e">
        <f t="shared" si="44"/>
        <v>#DIV/0!</v>
      </c>
      <c r="AG121" s="483" t="s">
        <v>981</v>
      </c>
      <c r="AH121" s="472">
        <v>0.25</v>
      </c>
      <c r="AI121" s="484" t="str">
        <f>+U121</f>
        <v>Comunicar mensajes con contenidos de autocontrol y de esta manera fomentar la cultura del autocontrol en la ADRES.</v>
      </c>
      <c r="AJ121" s="473">
        <v>0</v>
      </c>
      <c r="AK121" s="655">
        <f>3/12</f>
        <v>0.25</v>
      </c>
      <c r="AL121" s="616">
        <v>0</v>
      </c>
      <c r="AM121" s="478">
        <f t="shared" si="45"/>
        <v>1</v>
      </c>
      <c r="AN121" s="478" t="e">
        <f t="shared" si="46"/>
        <v>#DIV/0!</v>
      </c>
      <c r="AO121" s="478">
        <f t="shared" si="47"/>
        <v>0.5</v>
      </c>
      <c r="AP121" s="478" t="e">
        <f t="shared" si="48"/>
        <v>#DIV/0!</v>
      </c>
      <c r="AQ121" s="624" t="s">
        <v>1059</v>
      </c>
      <c r="AR121" s="472">
        <v>0.25</v>
      </c>
      <c r="AS121" s="484" t="str">
        <f>+U121</f>
        <v>Comunicar mensajes con contenidos de autocontrol y de esta manera fomentar la cultura del autocontrol en la ADRES.</v>
      </c>
      <c r="AT121" s="473">
        <v>0</v>
      </c>
      <c r="AU121" s="479"/>
      <c r="AV121" s="479"/>
      <c r="AW121" s="478">
        <f t="shared" si="49"/>
        <v>0</v>
      </c>
      <c r="AX121" s="478" t="e">
        <f t="shared" si="50"/>
        <v>#DIV/0!</v>
      </c>
      <c r="AY121" s="478">
        <f t="shared" si="51"/>
        <v>0.5</v>
      </c>
      <c r="AZ121" s="478" t="e">
        <f t="shared" si="52"/>
        <v>#DIV/0!</v>
      </c>
      <c r="BA121" s="478"/>
      <c r="BB121" s="472">
        <v>0.25</v>
      </c>
      <c r="BC121" s="484" t="str">
        <f>+U121</f>
        <v>Comunicar mensajes con contenidos de autocontrol y de esta manera fomentar la cultura del autocontrol en la ADRES.</v>
      </c>
      <c r="BD121" s="473">
        <v>0</v>
      </c>
      <c r="BE121" s="479"/>
      <c r="BF121" s="479"/>
      <c r="BG121" s="472">
        <f t="shared" si="64"/>
        <v>0</v>
      </c>
      <c r="BH121" s="472" t="e">
        <f t="shared" si="65"/>
        <v>#DIV/0!</v>
      </c>
      <c r="BI121" s="472">
        <f t="shared" si="66"/>
        <v>0.5</v>
      </c>
      <c r="BJ121" s="472" t="e">
        <f t="shared" si="67"/>
        <v>#DIV/0!</v>
      </c>
      <c r="BK121" s="472"/>
      <c r="BL121" s="533">
        <f t="shared" si="53"/>
        <v>1</v>
      </c>
      <c r="BM121" s="533" t="str">
        <f t="shared" si="54"/>
        <v>No Prog ni Ejec</v>
      </c>
      <c r="BN121" s="533">
        <f t="shared" si="55"/>
        <v>1</v>
      </c>
      <c r="BO121" s="533" t="str">
        <f t="shared" si="56"/>
        <v>No Prog ni Ejec</v>
      </c>
      <c r="BP121" s="533">
        <f t="shared" si="57"/>
        <v>0</v>
      </c>
      <c r="BQ121" s="533" t="str">
        <f t="shared" si="58"/>
        <v>No Prog ni Ejec</v>
      </c>
      <c r="BR121" s="533">
        <f t="shared" si="59"/>
        <v>0</v>
      </c>
      <c r="BS121" s="533" t="str">
        <f t="shared" si="60"/>
        <v>No Prog ni Ejec</v>
      </c>
      <c r="BT121" s="480">
        <f t="shared" si="61"/>
        <v>0.58333333333333337</v>
      </c>
      <c r="BU121" s="481" t="str">
        <f t="shared" si="87"/>
        <v>Comunicar mensajes con contenidos de autocontrol y de esta manera fomentar la cultura del autocontrol en la ADRES.</v>
      </c>
      <c r="BV121" s="482">
        <f t="shared" si="40"/>
        <v>0</v>
      </c>
      <c r="BW121" s="479"/>
      <c r="BX121" s="479"/>
      <c r="BY121" s="479"/>
      <c r="BZ121" s="479"/>
      <c r="CA121" s="479"/>
      <c r="CB121" s="479"/>
      <c r="CC121" s="479"/>
    </row>
    <row r="122" spans="1:81" s="428" customFormat="1" ht="51" x14ac:dyDescent="0.25">
      <c r="A122" s="468">
        <v>11900</v>
      </c>
      <c r="B122" s="469" t="s">
        <v>349</v>
      </c>
      <c r="C122" s="470" t="s">
        <v>350</v>
      </c>
      <c r="D122" s="469" t="s">
        <v>153</v>
      </c>
      <c r="E122" s="470" t="s">
        <v>352</v>
      </c>
      <c r="F122" s="469" t="s">
        <v>763</v>
      </c>
      <c r="G122" s="471" t="s">
        <v>124</v>
      </c>
      <c r="H122" s="470">
        <v>4</v>
      </c>
      <c r="I122" s="470" t="s">
        <v>544</v>
      </c>
      <c r="J122" s="469" t="s">
        <v>685</v>
      </c>
      <c r="K122" s="473">
        <v>0</v>
      </c>
      <c r="L122" s="474">
        <v>1</v>
      </c>
      <c r="M122" s="469" t="s">
        <v>51</v>
      </c>
      <c r="N122" s="469" t="s">
        <v>68</v>
      </c>
      <c r="O122" s="469" t="s">
        <v>21</v>
      </c>
      <c r="P122" s="469" t="s">
        <v>36</v>
      </c>
      <c r="Q122" s="469" t="s">
        <v>75</v>
      </c>
      <c r="R122" s="469" t="s">
        <v>631</v>
      </c>
      <c r="S122" s="469" t="s">
        <v>98</v>
      </c>
      <c r="T122" s="509">
        <v>4</v>
      </c>
      <c r="U122" s="475" t="str">
        <f t="shared" si="62"/>
        <v xml:space="preserve">
Reportar  trimestralmente el cumplimiento del Plan de Acción de la Dependencia</v>
      </c>
      <c r="V122" s="476">
        <f t="shared" si="63"/>
        <v>0</v>
      </c>
      <c r="W122" s="477" t="s">
        <v>117</v>
      </c>
      <c r="X122" s="501">
        <v>1</v>
      </c>
      <c r="Y122" s="484" t="str">
        <f>+U122</f>
        <v xml:space="preserve">
Reportar  trimestralmente el cumplimiento del Plan de Acción de la Dependencia</v>
      </c>
      <c r="Z122" s="473">
        <v>0</v>
      </c>
      <c r="AA122" s="479">
        <v>1</v>
      </c>
      <c r="AB122" s="482">
        <v>0</v>
      </c>
      <c r="AC122" s="478">
        <f t="shared" si="41"/>
        <v>1</v>
      </c>
      <c r="AD122" s="478" t="e">
        <f t="shared" si="42"/>
        <v>#DIV/0!</v>
      </c>
      <c r="AE122" s="478">
        <f t="shared" si="43"/>
        <v>0.25</v>
      </c>
      <c r="AF122" s="478" t="e">
        <f t="shared" si="44"/>
        <v>#DIV/0!</v>
      </c>
      <c r="AG122" s="478"/>
      <c r="AH122" s="472">
        <v>1</v>
      </c>
      <c r="AI122" s="484" t="str">
        <f>+U122</f>
        <v xml:space="preserve">
Reportar  trimestralmente el cumplimiento del Plan de Acción de la Dependencia</v>
      </c>
      <c r="AJ122" s="473">
        <v>0</v>
      </c>
      <c r="AK122" s="772">
        <v>1</v>
      </c>
      <c r="AL122" s="682">
        <v>0</v>
      </c>
      <c r="AM122" s="478">
        <f t="shared" si="45"/>
        <v>1</v>
      </c>
      <c r="AN122" s="478" t="e">
        <f t="shared" si="46"/>
        <v>#DIV/0!</v>
      </c>
      <c r="AO122" s="478">
        <f t="shared" si="47"/>
        <v>0.5</v>
      </c>
      <c r="AP122" s="478" t="e">
        <f t="shared" si="48"/>
        <v>#DIV/0!</v>
      </c>
      <c r="AQ122" s="478"/>
      <c r="AR122" s="472">
        <v>1</v>
      </c>
      <c r="AS122" s="484" t="str">
        <f>+U122</f>
        <v xml:space="preserve">
Reportar  trimestralmente el cumplimiento del Plan de Acción de la Dependencia</v>
      </c>
      <c r="AT122" s="473">
        <v>0</v>
      </c>
      <c r="AU122" s="479"/>
      <c r="AV122" s="479"/>
      <c r="AW122" s="478">
        <f t="shared" si="49"/>
        <v>0</v>
      </c>
      <c r="AX122" s="478" t="e">
        <f t="shared" si="50"/>
        <v>#DIV/0!</v>
      </c>
      <c r="AY122" s="478">
        <f t="shared" si="51"/>
        <v>0.5</v>
      </c>
      <c r="AZ122" s="478" t="e">
        <f t="shared" si="52"/>
        <v>#DIV/0!</v>
      </c>
      <c r="BA122" s="478"/>
      <c r="BB122" s="472">
        <v>1</v>
      </c>
      <c r="BC122" s="484" t="str">
        <f>+U122</f>
        <v xml:space="preserve">
Reportar  trimestralmente el cumplimiento del Plan de Acción de la Dependencia</v>
      </c>
      <c r="BD122" s="473">
        <v>0</v>
      </c>
      <c r="BE122" s="479"/>
      <c r="BF122" s="479"/>
      <c r="BG122" s="472">
        <f t="shared" si="64"/>
        <v>0</v>
      </c>
      <c r="BH122" s="472" t="e">
        <f t="shared" si="65"/>
        <v>#DIV/0!</v>
      </c>
      <c r="BI122" s="472">
        <f t="shared" si="66"/>
        <v>0.5</v>
      </c>
      <c r="BJ122" s="472" t="e">
        <f t="shared" si="67"/>
        <v>#DIV/0!</v>
      </c>
      <c r="BK122" s="472"/>
      <c r="BL122" s="533">
        <f t="shared" si="53"/>
        <v>1</v>
      </c>
      <c r="BM122" s="533" t="str">
        <f t="shared" si="54"/>
        <v>No Prog ni Ejec</v>
      </c>
      <c r="BN122" s="533">
        <f t="shared" si="55"/>
        <v>1</v>
      </c>
      <c r="BO122" s="533" t="str">
        <f t="shared" si="56"/>
        <v>No Prog ni Ejec</v>
      </c>
      <c r="BP122" s="533">
        <f t="shared" si="57"/>
        <v>0</v>
      </c>
      <c r="BQ122" s="533" t="str">
        <f t="shared" si="58"/>
        <v>No Prog ni Ejec</v>
      </c>
      <c r="BR122" s="533">
        <f t="shared" si="59"/>
        <v>0</v>
      </c>
      <c r="BS122" s="533" t="str">
        <f t="shared" si="60"/>
        <v>No Prog ni Ejec</v>
      </c>
      <c r="BT122" s="507">
        <f t="shared" si="61"/>
        <v>2.3333333333333335</v>
      </c>
      <c r="BU122" s="481" t="str">
        <f t="shared" si="87"/>
        <v xml:space="preserve">
Reportar  trimestralmente el cumplimiento del Plan de Acción de la Dependencia</v>
      </c>
      <c r="BV122" s="482">
        <f t="shared" si="40"/>
        <v>0</v>
      </c>
      <c r="BW122" s="479"/>
      <c r="BX122" s="479"/>
      <c r="BY122" s="479"/>
      <c r="BZ122" s="479"/>
      <c r="CA122" s="479"/>
      <c r="CB122" s="479"/>
      <c r="CC122" s="479"/>
    </row>
    <row r="123" spans="1:81" s="428" customFormat="1" ht="89.25" x14ac:dyDescent="0.25">
      <c r="A123" s="468">
        <v>11900</v>
      </c>
      <c r="B123" s="469" t="s">
        <v>349</v>
      </c>
      <c r="C123" s="470" t="s">
        <v>351</v>
      </c>
      <c r="D123" s="469" t="s">
        <v>256</v>
      </c>
      <c r="E123" s="470" t="s">
        <v>353</v>
      </c>
      <c r="F123" s="469" t="s">
        <v>686</v>
      </c>
      <c r="G123" s="471" t="s">
        <v>123</v>
      </c>
      <c r="H123" s="472">
        <v>1</v>
      </c>
      <c r="I123" s="470" t="s">
        <v>545</v>
      </c>
      <c r="J123" s="469" t="s">
        <v>598</v>
      </c>
      <c r="K123" s="473">
        <v>0</v>
      </c>
      <c r="L123" s="474">
        <v>1</v>
      </c>
      <c r="M123" s="469" t="s">
        <v>51</v>
      </c>
      <c r="N123" s="469" t="s">
        <v>68</v>
      </c>
      <c r="O123" s="469" t="s">
        <v>21</v>
      </c>
      <c r="P123" s="469" t="s">
        <v>36</v>
      </c>
      <c r="Q123" s="469" t="s">
        <v>75</v>
      </c>
      <c r="R123" s="469" t="s">
        <v>672</v>
      </c>
      <c r="S123" s="469" t="s">
        <v>98</v>
      </c>
      <c r="T123" s="474">
        <v>1</v>
      </c>
      <c r="U123" s="475" t="str">
        <f t="shared" si="62"/>
        <v>Formular los procesos y procedimientos en el marco del MIPG</v>
      </c>
      <c r="V123" s="476">
        <f t="shared" si="63"/>
        <v>0</v>
      </c>
      <c r="W123" s="477" t="s">
        <v>117</v>
      </c>
      <c r="X123" s="472">
        <v>0.25</v>
      </c>
      <c r="Y123" s="484" t="str">
        <f>+U123</f>
        <v>Formular los procesos y procedimientos en el marco del MIPG</v>
      </c>
      <c r="Z123" s="473">
        <v>0</v>
      </c>
      <c r="AA123" s="480">
        <f>(2/9)*25%</f>
        <v>5.5555555555555552E-2</v>
      </c>
      <c r="AB123" s="482">
        <v>0</v>
      </c>
      <c r="AC123" s="478">
        <f t="shared" si="41"/>
        <v>0.22222222222222221</v>
      </c>
      <c r="AD123" s="478" t="e">
        <f t="shared" si="42"/>
        <v>#DIV/0!</v>
      </c>
      <c r="AE123" s="478">
        <f t="shared" si="43"/>
        <v>5.5555555555555552E-2</v>
      </c>
      <c r="AF123" s="478" t="e">
        <f t="shared" si="44"/>
        <v>#DIV/0!</v>
      </c>
      <c r="AG123" s="478"/>
      <c r="AH123" s="472">
        <v>0.25</v>
      </c>
      <c r="AI123" s="484" t="str">
        <f>+U123</f>
        <v>Formular los procesos y procedimientos en el marco del MIPG</v>
      </c>
      <c r="AJ123" s="473">
        <v>0</v>
      </c>
      <c r="AK123" s="773">
        <v>0</v>
      </c>
      <c r="AL123" s="772" t="s">
        <v>1064</v>
      </c>
      <c r="AM123" s="478">
        <f t="shared" si="45"/>
        <v>0</v>
      </c>
      <c r="AN123" s="478" t="e">
        <f t="shared" si="46"/>
        <v>#VALUE!</v>
      </c>
      <c r="AO123" s="478">
        <f t="shared" si="47"/>
        <v>5.5555555555555552E-2</v>
      </c>
      <c r="AP123" s="478" t="e">
        <f t="shared" si="48"/>
        <v>#VALUE!</v>
      </c>
      <c r="AQ123" s="478"/>
      <c r="AR123" s="472">
        <v>0.25</v>
      </c>
      <c r="AS123" s="484" t="str">
        <f>+U123</f>
        <v>Formular los procesos y procedimientos en el marco del MIPG</v>
      </c>
      <c r="AT123" s="473">
        <v>0</v>
      </c>
      <c r="AU123" s="479"/>
      <c r="AV123" s="479"/>
      <c r="AW123" s="478">
        <f t="shared" si="49"/>
        <v>0</v>
      </c>
      <c r="AX123" s="478" t="e">
        <f t="shared" si="50"/>
        <v>#DIV/0!</v>
      </c>
      <c r="AY123" s="478">
        <f t="shared" si="51"/>
        <v>5.5555555555555552E-2</v>
      </c>
      <c r="AZ123" s="478" t="e">
        <f t="shared" si="52"/>
        <v>#VALUE!</v>
      </c>
      <c r="BA123" s="478"/>
      <c r="BB123" s="472">
        <v>0.25</v>
      </c>
      <c r="BC123" s="484" t="str">
        <f>+U123</f>
        <v>Formular los procesos y procedimientos en el marco del MIPG</v>
      </c>
      <c r="BD123" s="473">
        <v>0</v>
      </c>
      <c r="BE123" s="479"/>
      <c r="BF123" s="479"/>
      <c r="BG123" s="472">
        <f t="shared" si="64"/>
        <v>0</v>
      </c>
      <c r="BH123" s="472" t="e">
        <f t="shared" si="65"/>
        <v>#DIV/0!</v>
      </c>
      <c r="BI123" s="472">
        <f t="shared" si="66"/>
        <v>5.5555555555555552E-2</v>
      </c>
      <c r="BJ123" s="472" t="e">
        <f t="shared" si="67"/>
        <v>#VALUE!</v>
      </c>
      <c r="BK123" s="472"/>
      <c r="BL123" s="533">
        <f t="shared" si="53"/>
        <v>0.22222222222222221</v>
      </c>
      <c r="BM123" s="533" t="str">
        <f t="shared" si="54"/>
        <v>No Prog ni Ejec</v>
      </c>
      <c r="BN123" s="533">
        <f t="shared" si="55"/>
        <v>0</v>
      </c>
      <c r="BO123" s="533" t="str">
        <f t="shared" si="56"/>
        <v xml:space="preserve">No Prog, Ejec=   $ - </v>
      </c>
      <c r="BP123" s="533">
        <f t="shared" si="57"/>
        <v>0</v>
      </c>
      <c r="BQ123" s="533" t="str">
        <f t="shared" si="58"/>
        <v>No Prog ni Ejec</v>
      </c>
      <c r="BR123" s="533">
        <f t="shared" si="59"/>
        <v>0</v>
      </c>
      <c r="BS123" s="533" t="str">
        <f t="shared" si="60"/>
        <v>No Prog ni Ejec</v>
      </c>
      <c r="BT123" s="480">
        <f t="shared" si="61"/>
        <v>0.58333333333333337</v>
      </c>
      <c r="BU123" s="481" t="str">
        <f t="shared" si="87"/>
        <v>Formular los procesos y procedimientos en el marco del MIPG</v>
      </c>
      <c r="BV123" s="482">
        <f t="shared" si="40"/>
        <v>0</v>
      </c>
      <c r="BW123" s="479"/>
      <c r="BX123" s="479"/>
      <c r="BY123" s="479"/>
      <c r="BZ123" s="479"/>
      <c r="CA123" s="479"/>
      <c r="CB123" s="479"/>
      <c r="CC123" s="479"/>
    </row>
    <row r="124" spans="1:81" s="428" customFormat="1" ht="89.25" x14ac:dyDescent="0.25">
      <c r="A124" s="468">
        <v>11900</v>
      </c>
      <c r="B124" s="469" t="s">
        <v>349</v>
      </c>
      <c r="C124" s="470" t="s">
        <v>351</v>
      </c>
      <c r="D124" s="469" t="s">
        <v>256</v>
      </c>
      <c r="E124" s="470" t="s">
        <v>354</v>
      </c>
      <c r="F124" s="469" t="s">
        <v>687</v>
      </c>
      <c r="G124" s="471" t="s">
        <v>124</v>
      </c>
      <c r="H124" s="470">
        <v>4</v>
      </c>
      <c r="I124" s="470" t="s">
        <v>560</v>
      </c>
      <c r="J124" s="469" t="s">
        <v>688</v>
      </c>
      <c r="K124" s="473">
        <v>0</v>
      </c>
      <c r="L124" s="474">
        <v>1</v>
      </c>
      <c r="M124" s="469" t="s">
        <v>51</v>
      </c>
      <c r="N124" s="469" t="s">
        <v>68</v>
      </c>
      <c r="O124" s="469" t="s">
        <v>21</v>
      </c>
      <c r="P124" s="469" t="s">
        <v>36</v>
      </c>
      <c r="Q124" s="469" t="s">
        <v>75</v>
      </c>
      <c r="R124" s="469" t="s">
        <v>570</v>
      </c>
      <c r="S124" s="469" t="s">
        <v>98</v>
      </c>
      <c r="T124" s="470">
        <v>4</v>
      </c>
      <c r="U124" s="475" t="str">
        <f t="shared" si="62"/>
        <v>Evaluar la gestión y resultados de los procesos de calidad de la Dependencia y remitir informes trimestrales de los indicadores formulados y las acciones de mejoras</v>
      </c>
      <c r="V124" s="476">
        <f t="shared" si="63"/>
        <v>0</v>
      </c>
      <c r="W124" s="477" t="s">
        <v>117</v>
      </c>
      <c r="X124" s="474">
        <v>0</v>
      </c>
      <c r="Y124" s="484" t="str">
        <f>+U124</f>
        <v>Evaluar la gestión y resultados de los procesos de calidad de la Dependencia y remitir informes trimestrales de los indicadores formulados y las acciones de mejoras</v>
      </c>
      <c r="Z124" s="473">
        <v>0</v>
      </c>
      <c r="AA124" s="480">
        <v>0</v>
      </c>
      <c r="AB124" s="482">
        <v>0</v>
      </c>
      <c r="AC124" s="478" t="e">
        <f t="shared" si="41"/>
        <v>#DIV/0!</v>
      </c>
      <c r="AD124" s="478" t="e">
        <f t="shared" si="42"/>
        <v>#DIV/0!</v>
      </c>
      <c r="AE124" s="478">
        <f t="shared" si="43"/>
        <v>0</v>
      </c>
      <c r="AF124" s="478" t="e">
        <f t="shared" si="44"/>
        <v>#DIV/0!</v>
      </c>
      <c r="AG124" s="478"/>
      <c r="AH124" s="474">
        <v>0</v>
      </c>
      <c r="AI124" s="484" t="str">
        <f>+U124</f>
        <v>Evaluar la gestión y resultados de los procesos de calidad de la Dependencia y remitir informes trimestrales de los indicadores formulados y las acciones de mejoras</v>
      </c>
      <c r="AJ124" s="473">
        <v>0</v>
      </c>
      <c r="AK124" s="773">
        <v>0</v>
      </c>
      <c r="AL124" s="772" t="s">
        <v>1064</v>
      </c>
      <c r="AM124" s="478" t="e">
        <f t="shared" si="45"/>
        <v>#DIV/0!</v>
      </c>
      <c r="AN124" s="478" t="e">
        <f t="shared" si="46"/>
        <v>#VALUE!</v>
      </c>
      <c r="AO124" s="478">
        <f t="shared" si="47"/>
        <v>0</v>
      </c>
      <c r="AP124" s="478" t="e">
        <f t="shared" si="48"/>
        <v>#VALUE!</v>
      </c>
      <c r="AQ124" s="478"/>
      <c r="AR124" s="474">
        <v>0</v>
      </c>
      <c r="AS124" s="484" t="str">
        <f>+U124</f>
        <v>Evaluar la gestión y resultados de los procesos de calidad de la Dependencia y remitir informes trimestrales de los indicadores formulados y las acciones de mejoras</v>
      </c>
      <c r="AT124" s="473">
        <v>0</v>
      </c>
      <c r="AU124" s="479"/>
      <c r="AV124" s="479"/>
      <c r="AW124" s="478" t="e">
        <f t="shared" si="49"/>
        <v>#DIV/0!</v>
      </c>
      <c r="AX124" s="478" t="e">
        <f t="shared" si="50"/>
        <v>#DIV/0!</v>
      </c>
      <c r="AY124" s="478">
        <f t="shared" si="51"/>
        <v>0</v>
      </c>
      <c r="AZ124" s="478" t="e">
        <f t="shared" si="52"/>
        <v>#VALUE!</v>
      </c>
      <c r="BA124" s="478"/>
      <c r="BB124" s="474">
        <v>1</v>
      </c>
      <c r="BC124" s="528" t="str">
        <f>+U124</f>
        <v>Evaluar la gestión y resultados de los procesos de calidad de la Dependencia y remitir informes trimestrales de los indicadores formulados y las acciones de mejoras</v>
      </c>
      <c r="BD124" s="473">
        <v>0</v>
      </c>
      <c r="BE124" s="479"/>
      <c r="BF124" s="479"/>
      <c r="BG124" s="472">
        <f t="shared" si="64"/>
        <v>0</v>
      </c>
      <c r="BH124" s="472" t="e">
        <f t="shared" si="65"/>
        <v>#DIV/0!</v>
      </c>
      <c r="BI124" s="472">
        <f t="shared" si="66"/>
        <v>0</v>
      </c>
      <c r="BJ124" s="472" t="e">
        <f t="shared" si="67"/>
        <v>#VALUE!</v>
      </c>
      <c r="BK124" s="472"/>
      <c r="BL124" s="533" t="str">
        <f t="shared" si="53"/>
        <v>No Prog ni Ejec</v>
      </c>
      <c r="BM124" s="533" t="str">
        <f t="shared" si="54"/>
        <v>No Prog ni Ejec</v>
      </c>
      <c r="BN124" s="533" t="str">
        <f t="shared" si="55"/>
        <v>No Prog ni Ejec</v>
      </c>
      <c r="BO124" s="533" t="str">
        <f t="shared" si="56"/>
        <v xml:space="preserve">No Prog, Ejec=   $ - </v>
      </c>
      <c r="BP124" s="533" t="str">
        <f t="shared" si="57"/>
        <v>No Prog ni Ejec</v>
      </c>
      <c r="BQ124" s="533" t="str">
        <f t="shared" si="58"/>
        <v>No Prog ni Ejec</v>
      </c>
      <c r="BR124" s="533">
        <f t="shared" si="59"/>
        <v>0</v>
      </c>
      <c r="BS124" s="533" t="str">
        <f t="shared" si="60"/>
        <v>No Prog ni Ejec</v>
      </c>
      <c r="BT124" s="507">
        <f t="shared" si="61"/>
        <v>0</v>
      </c>
      <c r="BU124" s="481" t="str">
        <f t="shared" si="87"/>
        <v>Evaluar la gestión y resultados de los procesos de calidad de la Dependencia y remitir informes trimestrales de los indicadores formulados y las acciones de mejoras</v>
      </c>
      <c r="BV124" s="482">
        <f t="shared" si="40"/>
        <v>0</v>
      </c>
      <c r="BW124" s="479"/>
      <c r="BX124" s="479"/>
      <c r="BY124" s="479"/>
      <c r="BZ124" s="479"/>
      <c r="CA124" s="479"/>
      <c r="CB124" s="479"/>
      <c r="CC124" s="479"/>
    </row>
    <row r="125" spans="1:81" s="428" customFormat="1" ht="51" x14ac:dyDescent="0.25">
      <c r="A125" s="468">
        <v>11900</v>
      </c>
      <c r="B125" s="469" t="s">
        <v>349</v>
      </c>
      <c r="C125" s="470" t="s">
        <v>357</v>
      </c>
      <c r="D125" s="469" t="s">
        <v>146</v>
      </c>
      <c r="E125" s="470" t="s">
        <v>358</v>
      </c>
      <c r="F125" s="469" t="s">
        <v>767</v>
      </c>
      <c r="G125" s="471" t="s">
        <v>123</v>
      </c>
      <c r="H125" s="472">
        <v>1</v>
      </c>
      <c r="I125" s="470" t="s">
        <v>359</v>
      </c>
      <c r="J125" s="469" t="s">
        <v>690</v>
      </c>
      <c r="K125" s="473">
        <v>254442984</v>
      </c>
      <c r="L125" s="474">
        <v>1</v>
      </c>
      <c r="M125" s="469" t="s">
        <v>46</v>
      </c>
      <c r="N125" s="469" t="s">
        <v>74</v>
      </c>
      <c r="O125" s="469" t="s">
        <v>21</v>
      </c>
      <c r="P125" s="469" t="s">
        <v>36</v>
      </c>
      <c r="Q125" s="469" t="s">
        <v>229</v>
      </c>
      <c r="R125" s="469" t="s">
        <v>360</v>
      </c>
      <c r="S125" s="469" t="s">
        <v>99</v>
      </c>
      <c r="T125" s="474">
        <v>1</v>
      </c>
      <c r="U125" s="475" t="str">
        <f t="shared" si="62"/>
        <v>Atender las solicitudes de informes derivadas de acciones constitucionales y tutelas</v>
      </c>
      <c r="V125" s="476">
        <f t="shared" si="63"/>
        <v>254442984</v>
      </c>
      <c r="W125" s="477" t="s">
        <v>114</v>
      </c>
      <c r="X125" s="472">
        <v>0.25</v>
      </c>
      <c r="Y125" s="484" t="str">
        <f>+U125</f>
        <v>Atender las solicitudes de informes derivadas de acciones constitucionales y tutelas</v>
      </c>
      <c r="Z125" s="473">
        <f>+X125*V125</f>
        <v>63610746</v>
      </c>
      <c r="AA125" s="559">
        <f>((9051/9075)*(25/100))</f>
        <v>0.24933884297520661</v>
      </c>
      <c r="AB125" s="482">
        <f>37149387+1084237.36-112417</f>
        <v>38121207.359999999</v>
      </c>
      <c r="AC125" s="478">
        <f t="shared" si="41"/>
        <v>0.99735537190082646</v>
      </c>
      <c r="AD125" s="478">
        <f t="shared" si="42"/>
        <v>0.59928879563839732</v>
      </c>
      <c r="AE125" s="478">
        <f t="shared" si="43"/>
        <v>0.24933884297520661</v>
      </c>
      <c r="AF125" s="478">
        <f t="shared" si="44"/>
        <v>0.14982219890959933</v>
      </c>
      <c r="AG125" s="478"/>
      <c r="AH125" s="472">
        <v>0.25</v>
      </c>
      <c r="AI125" s="484" t="str">
        <f>+U125</f>
        <v>Atender las solicitudes de informes derivadas de acciones constitucionales y tutelas</v>
      </c>
      <c r="AJ125" s="473">
        <v>63610746</v>
      </c>
      <c r="AK125" s="612">
        <f>((31033/31144)*(25/100))</f>
        <v>0.24910897765219625</v>
      </c>
      <c r="AL125" s="648">
        <v>59317140</v>
      </c>
      <c r="AM125" s="478">
        <f t="shared" si="45"/>
        <v>0.996435910608785</v>
      </c>
      <c r="AN125" s="478">
        <f t="shared" si="46"/>
        <v>0.93250187633391379</v>
      </c>
      <c r="AO125" s="478">
        <f t="shared" si="47"/>
        <v>0.49844782062740289</v>
      </c>
      <c r="AP125" s="478">
        <f t="shared" si="48"/>
        <v>0.38294766799307778</v>
      </c>
      <c r="AQ125" s="478"/>
      <c r="AR125" s="472">
        <v>0.25</v>
      </c>
      <c r="AS125" s="484" t="str">
        <f>+U125</f>
        <v>Atender las solicitudes de informes derivadas de acciones constitucionales y tutelas</v>
      </c>
      <c r="AT125" s="473">
        <v>63610746</v>
      </c>
      <c r="AU125" s="479"/>
      <c r="AV125" s="479"/>
      <c r="AW125" s="478">
        <f t="shared" si="49"/>
        <v>0</v>
      </c>
      <c r="AX125" s="478">
        <f t="shared" si="50"/>
        <v>0</v>
      </c>
      <c r="AY125" s="478">
        <f t="shared" si="51"/>
        <v>0.49844782062740289</v>
      </c>
      <c r="AZ125" s="478">
        <f t="shared" si="52"/>
        <v>0.38294766799307778</v>
      </c>
      <c r="BA125" s="478"/>
      <c r="BB125" s="472">
        <v>0.25</v>
      </c>
      <c r="BC125" s="484" t="str">
        <f>+U125</f>
        <v>Atender las solicitudes de informes derivadas de acciones constitucionales y tutelas</v>
      </c>
      <c r="BD125" s="473">
        <v>63610746</v>
      </c>
      <c r="BE125" s="479"/>
      <c r="BF125" s="479"/>
      <c r="BG125" s="472">
        <f t="shared" si="64"/>
        <v>0</v>
      </c>
      <c r="BH125" s="472">
        <f t="shared" si="65"/>
        <v>0</v>
      </c>
      <c r="BI125" s="472">
        <f t="shared" si="66"/>
        <v>0.49844782062740289</v>
      </c>
      <c r="BJ125" s="472">
        <f t="shared" si="67"/>
        <v>0.38294766799307778</v>
      </c>
      <c r="BK125" s="472"/>
      <c r="BL125" s="533">
        <f t="shared" si="53"/>
        <v>0.99735537190082646</v>
      </c>
      <c r="BM125" s="533">
        <f t="shared" si="54"/>
        <v>0.59928879563839732</v>
      </c>
      <c r="BN125" s="533">
        <f t="shared" si="55"/>
        <v>0.996435910608785</v>
      </c>
      <c r="BO125" s="533">
        <f t="shared" si="56"/>
        <v>0.93250187633391379</v>
      </c>
      <c r="BP125" s="533">
        <f t="shared" si="57"/>
        <v>0</v>
      </c>
      <c r="BQ125" s="533">
        <f t="shared" si="58"/>
        <v>0</v>
      </c>
      <c r="BR125" s="533">
        <f t="shared" si="59"/>
        <v>0</v>
      </c>
      <c r="BS125" s="533">
        <f t="shared" si="60"/>
        <v>0</v>
      </c>
      <c r="BT125" s="480">
        <f t="shared" si="61"/>
        <v>0.58333333333333337</v>
      </c>
      <c r="BU125" s="481" t="str">
        <f t="shared" si="87"/>
        <v>Atender las solicitudes de informes derivadas de acciones constitucionales y tutelas</v>
      </c>
      <c r="BV125" s="482">
        <f t="shared" si="40"/>
        <v>148425074</v>
      </c>
      <c r="BW125" s="479"/>
      <c r="BX125" s="479"/>
      <c r="BY125" s="479"/>
      <c r="BZ125" s="479"/>
      <c r="CA125" s="479"/>
      <c r="CB125" s="479"/>
      <c r="CC125" s="479"/>
    </row>
    <row r="126" spans="1:81" s="428" customFormat="1" ht="76.5" x14ac:dyDescent="0.25">
      <c r="A126" s="468">
        <v>11900</v>
      </c>
      <c r="B126" s="469" t="s">
        <v>349</v>
      </c>
      <c r="C126" s="470" t="s">
        <v>357</v>
      </c>
      <c r="D126" s="469" t="s">
        <v>146</v>
      </c>
      <c r="E126" s="470" t="s">
        <v>361</v>
      </c>
      <c r="F126" s="469" t="s">
        <v>436</v>
      </c>
      <c r="G126" s="471" t="s">
        <v>123</v>
      </c>
      <c r="H126" s="472">
        <v>1</v>
      </c>
      <c r="I126" s="470" t="s">
        <v>458</v>
      </c>
      <c r="J126" s="469" t="s">
        <v>362</v>
      </c>
      <c r="K126" s="978">
        <v>768132904</v>
      </c>
      <c r="L126" s="981">
        <v>1</v>
      </c>
      <c r="M126" s="469" t="s">
        <v>46</v>
      </c>
      <c r="N126" s="469" t="s">
        <v>74</v>
      </c>
      <c r="O126" s="469" t="s">
        <v>21</v>
      </c>
      <c r="P126" s="469" t="s">
        <v>36</v>
      </c>
      <c r="Q126" s="469" t="s">
        <v>229</v>
      </c>
      <c r="R126" s="469" t="s">
        <v>437</v>
      </c>
      <c r="S126" s="469" t="s">
        <v>99</v>
      </c>
      <c r="T126" s="474">
        <v>1</v>
      </c>
      <c r="U126" s="475" t="str">
        <f t="shared" si="62"/>
        <v>Ejercer la defensa extrajudicial y judicial en los asuntos y/o procesos judiciales en que la ADRES es parte o vinculado.</v>
      </c>
      <c r="V126" s="1001">
        <f t="shared" si="63"/>
        <v>768132904</v>
      </c>
      <c r="W126" s="477" t="s">
        <v>114</v>
      </c>
      <c r="X126" s="472">
        <v>0.25</v>
      </c>
      <c r="Y126" s="484" t="str">
        <f>+U126</f>
        <v>Ejercer la defensa extrajudicial y judicial en los asuntos y/o procesos judiciales en que la ADRES es parte o vinculado.</v>
      </c>
      <c r="Z126" s="978">
        <f>+V126*X126</f>
        <v>192033226</v>
      </c>
      <c r="AA126" s="480">
        <f>11/11*0.25</f>
        <v>0.25</v>
      </c>
      <c r="AB126" s="978">
        <f>73830629+3407605</f>
        <v>77238234</v>
      </c>
      <c r="AC126" s="478">
        <f t="shared" si="41"/>
        <v>1</v>
      </c>
      <c r="AD126" s="995">
        <f>+(AB126/Z126)</f>
        <v>0.40221286497577247</v>
      </c>
      <c r="AE126" s="478">
        <f t="shared" si="43"/>
        <v>0.25</v>
      </c>
      <c r="AF126" s="995">
        <f t="shared" si="44"/>
        <v>0.10055321624394312</v>
      </c>
      <c r="AG126" s="483" t="s">
        <v>914</v>
      </c>
      <c r="AH126" s="472">
        <v>0.25</v>
      </c>
      <c r="AI126" s="484" t="str">
        <f>+U126</f>
        <v>Ejercer la defensa extrajudicial y judicial en los asuntos y/o procesos judiciales en que la ADRES es parte o vinculado.</v>
      </c>
      <c r="AJ126" s="978">
        <v>192033226</v>
      </c>
      <c r="AK126" s="657">
        <f>(95/100)*AH126</f>
        <v>0.23749999999999999</v>
      </c>
      <c r="AL126" s="990">
        <f>143795057+13117798</f>
        <v>156912855</v>
      </c>
      <c r="AM126" s="478">
        <f t="shared" si="45"/>
        <v>0.95</v>
      </c>
      <c r="AN126" s="995">
        <f t="shared" si="46"/>
        <v>0.81711305000937706</v>
      </c>
      <c r="AO126" s="478">
        <f t="shared" si="47"/>
        <v>0.48749999999999999</v>
      </c>
      <c r="AP126" s="995">
        <f t="shared" si="48"/>
        <v>0.30483147874628735</v>
      </c>
      <c r="AQ126" s="478"/>
      <c r="AR126" s="472">
        <v>0.25</v>
      </c>
      <c r="AS126" s="484" t="str">
        <f>+U126</f>
        <v>Ejercer la defensa extrajudicial y judicial en los asuntos y/o procesos judiciales en que la ADRES es parte o vinculado.</v>
      </c>
      <c r="AT126" s="473">
        <v>192033226</v>
      </c>
      <c r="AU126" s="479"/>
      <c r="AV126" s="479"/>
      <c r="AW126" s="478">
        <f t="shared" si="49"/>
        <v>0</v>
      </c>
      <c r="AX126" s="478">
        <f t="shared" si="50"/>
        <v>0</v>
      </c>
      <c r="AY126" s="478">
        <f t="shared" si="51"/>
        <v>0.48749999999999999</v>
      </c>
      <c r="AZ126" s="478">
        <f t="shared" si="52"/>
        <v>0.30483147874628735</v>
      </c>
      <c r="BA126" s="478"/>
      <c r="BB126" s="472">
        <v>0.25</v>
      </c>
      <c r="BC126" s="484" t="str">
        <f>+U126</f>
        <v>Ejercer la defensa extrajudicial y judicial en los asuntos y/o procesos judiciales en que la ADRES es parte o vinculado.</v>
      </c>
      <c r="BD126" s="473">
        <v>192033226</v>
      </c>
      <c r="BE126" s="479"/>
      <c r="BF126" s="479"/>
      <c r="BG126" s="472">
        <f t="shared" si="64"/>
        <v>0</v>
      </c>
      <c r="BH126" s="472">
        <f t="shared" si="65"/>
        <v>0</v>
      </c>
      <c r="BI126" s="472">
        <f t="shared" si="66"/>
        <v>0.48749999999999999</v>
      </c>
      <c r="BJ126" s="472">
        <f t="shared" si="67"/>
        <v>0.30483147874628735</v>
      </c>
      <c r="BK126" s="472"/>
      <c r="BL126" s="533">
        <f t="shared" si="53"/>
        <v>1</v>
      </c>
      <c r="BM126" s="984">
        <f t="shared" si="54"/>
        <v>0.40221286497577247</v>
      </c>
      <c r="BN126" s="533">
        <f t="shared" si="55"/>
        <v>0.95</v>
      </c>
      <c r="BO126" s="984">
        <f t="shared" si="56"/>
        <v>0.81711305000937706</v>
      </c>
      <c r="BP126" s="533">
        <f t="shared" si="57"/>
        <v>0</v>
      </c>
      <c r="BQ126" s="984">
        <f t="shared" si="58"/>
        <v>0</v>
      </c>
      <c r="BR126" s="533">
        <f t="shared" si="59"/>
        <v>0</v>
      </c>
      <c r="BS126" s="984">
        <f t="shared" si="60"/>
        <v>0</v>
      </c>
      <c r="BT126" s="480">
        <f t="shared" si="61"/>
        <v>0.58333333333333337</v>
      </c>
      <c r="BU126" s="481" t="str">
        <f t="shared" si="87"/>
        <v>Ejercer la defensa extrajudicial y judicial en los asuntos y/o procesos judiciales en que la ADRES es parte o vinculado.</v>
      </c>
      <c r="BV126" s="482">
        <f t="shared" si="40"/>
        <v>448077527.33333331</v>
      </c>
      <c r="BW126" s="479"/>
      <c r="BX126" s="479"/>
      <c r="BY126" s="479"/>
      <c r="BZ126" s="479"/>
      <c r="CA126" s="479"/>
      <c r="CB126" s="479"/>
      <c r="CC126" s="479"/>
    </row>
    <row r="127" spans="1:81" s="428" customFormat="1" ht="63.75" x14ac:dyDescent="0.25">
      <c r="A127" s="468">
        <v>11900</v>
      </c>
      <c r="B127" s="469" t="s">
        <v>349</v>
      </c>
      <c r="C127" s="470" t="s">
        <v>357</v>
      </c>
      <c r="D127" s="469" t="s">
        <v>146</v>
      </c>
      <c r="E127" s="470" t="s">
        <v>371</v>
      </c>
      <c r="F127" s="469" t="s">
        <v>366</v>
      </c>
      <c r="G127" s="471" t="s">
        <v>123</v>
      </c>
      <c r="H127" s="472">
        <v>1</v>
      </c>
      <c r="I127" s="470" t="s">
        <v>547</v>
      </c>
      <c r="J127" s="469" t="s">
        <v>362</v>
      </c>
      <c r="K127" s="980"/>
      <c r="L127" s="982"/>
      <c r="M127" s="469" t="s">
        <v>46</v>
      </c>
      <c r="N127" s="469" t="s">
        <v>74</v>
      </c>
      <c r="O127" s="469" t="s">
        <v>21</v>
      </c>
      <c r="P127" s="469" t="s">
        <v>36</v>
      </c>
      <c r="Q127" s="469" t="s">
        <v>229</v>
      </c>
      <c r="R127" s="469" t="s">
        <v>370</v>
      </c>
      <c r="S127" s="469" t="s">
        <v>99</v>
      </c>
      <c r="T127" s="474">
        <v>1</v>
      </c>
      <c r="U127" s="475" t="str">
        <f t="shared" si="62"/>
        <v>Ejercer la defensa extrajudicial y judicial en los asuntos y/o procesos judiciales en que la ADRES es parte o vinculado.</v>
      </c>
      <c r="V127" s="1002"/>
      <c r="W127" s="477" t="s">
        <v>114</v>
      </c>
      <c r="X127" s="472">
        <v>0.25</v>
      </c>
      <c r="Y127" s="484" t="str">
        <f>+U127</f>
        <v>Ejercer la defensa extrajudicial y judicial en los asuntos y/o procesos judiciales en que la ADRES es parte o vinculado.</v>
      </c>
      <c r="Z127" s="980"/>
      <c r="AA127" s="480">
        <f>5/21*0.25</f>
        <v>5.9523809523809521E-2</v>
      </c>
      <c r="AB127" s="980"/>
      <c r="AC127" s="478">
        <f t="shared" si="41"/>
        <v>0.23809523809523808</v>
      </c>
      <c r="AD127" s="996"/>
      <c r="AE127" s="478">
        <f t="shared" si="43"/>
        <v>5.9523809523809521E-2</v>
      </c>
      <c r="AF127" s="996"/>
      <c r="AG127" s="483"/>
      <c r="AH127" s="472">
        <v>0.25</v>
      </c>
      <c r="AI127" s="484" t="str">
        <f>+U127</f>
        <v>Ejercer la defensa extrajudicial y judicial en los asuntos y/o procesos judiciales en que la ADRES es parte o vinculado.</v>
      </c>
      <c r="AJ127" s="980"/>
      <c r="AK127" s="657">
        <f>(27/80)*AH127</f>
        <v>8.4375000000000006E-2</v>
      </c>
      <c r="AL127" s="1011"/>
      <c r="AM127" s="478">
        <f t="shared" si="45"/>
        <v>0.33750000000000002</v>
      </c>
      <c r="AN127" s="996"/>
      <c r="AO127" s="478">
        <f t="shared" si="47"/>
        <v>0.14389880952380951</v>
      </c>
      <c r="AP127" s="996"/>
      <c r="AQ127" s="478"/>
      <c r="AR127" s="472">
        <v>0.25</v>
      </c>
      <c r="AS127" s="484" t="str">
        <f>+U127</f>
        <v>Ejercer la defensa extrajudicial y judicial en los asuntos y/o procesos judiciales en que la ADRES es parte o vinculado.</v>
      </c>
      <c r="AT127" s="473">
        <v>0</v>
      </c>
      <c r="AU127" s="479"/>
      <c r="AV127" s="479"/>
      <c r="AW127" s="478">
        <f t="shared" si="49"/>
        <v>0</v>
      </c>
      <c r="AX127" s="478" t="e">
        <f t="shared" si="50"/>
        <v>#DIV/0!</v>
      </c>
      <c r="AY127" s="478">
        <f t="shared" si="51"/>
        <v>0.14389880952380951</v>
      </c>
      <c r="AZ127" s="478" t="e">
        <f t="shared" si="52"/>
        <v>#DIV/0!</v>
      </c>
      <c r="BA127" s="478"/>
      <c r="BB127" s="472">
        <v>0.25</v>
      </c>
      <c r="BC127" s="484" t="str">
        <f>+U127</f>
        <v>Ejercer la defensa extrajudicial y judicial en los asuntos y/o procesos judiciales en que la ADRES es parte o vinculado.</v>
      </c>
      <c r="BD127" s="473">
        <v>0</v>
      </c>
      <c r="BE127" s="479"/>
      <c r="BF127" s="479"/>
      <c r="BG127" s="472">
        <f t="shared" si="64"/>
        <v>0</v>
      </c>
      <c r="BH127" s="472" t="e">
        <f t="shared" si="65"/>
        <v>#DIV/0!</v>
      </c>
      <c r="BI127" s="472">
        <f t="shared" si="66"/>
        <v>0.14389880952380951</v>
      </c>
      <c r="BJ127" s="472" t="e">
        <f t="shared" si="67"/>
        <v>#DIV/0!</v>
      </c>
      <c r="BK127" s="472"/>
      <c r="BL127" s="533">
        <f t="shared" si="53"/>
        <v>0.23809523809523808</v>
      </c>
      <c r="BM127" s="985"/>
      <c r="BN127" s="533">
        <f t="shared" si="55"/>
        <v>0.33750000000000002</v>
      </c>
      <c r="BO127" s="985"/>
      <c r="BP127" s="533">
        <f t="shared" si="57"/>
        <v>0</v>
      </c>
      <c r="BQ127" s="985"/>
      <c r="BR127" s="533">
        <f t="shared" si="59"/>
        <v>0</v>
      </c>
      <c r="BS127" s="985"/>
      <c r="BT127" s="480">
        <f t="shared" si="61"/>
        <v>0.58333333333333337</v>
      </c>
      <c r="BU127" s="481" t="str">
        <f t="shared" si="87"/>
        <v>Ejercer la defensa extrajudicial y judicial en los asuntos y/o procesos judiciales en que la ADRES es parte o vinculado.</v>
      </c>
      <c r="BV127" s="482">
        <f t="shared" si="40"/>
        <v>0</v>
      </c>
      <c r="BW127" s="479"/>
      <c r="BX127" s="479"/>
      <c r="BY127" s="479"/>
      <c r="BZ127" s="479"/>
      <c r="CA127" s="479"/>
      <c r="CB127" s="479"/>
      <c r="CC127" s="479"/>
    </row>
    <row r="128" spans="1:81" s="428" customFormat="1" ht="51" x14ac:dyDescent="0.25">
      <c r="A128" s="468">
        <v>11900</v>
      </c>
      <c r="B128" s="469" t="s">
        <v>349</v>
      </c>
      <c r="C128" s="470" t="s">
        <v>357</v>
      </c>
      <c r="D128" s="469" t="s">
        <v>146</v>
      </c>
      <c r="E128" s="470" t="s">
        <v>372</v>
      </c>
      <c r="F128" s="469" t="s">
        <v>367</v>
      </c>
      <c r="G128" s="471" t="s">
        <v>123</v>
      </c>
      <c r="H128" s="472">
        <v>1</v>
      </c>
      <c r="I128" s="470" t="s">
        <v>459</v>
      </c>
      <c r="J128" s="469" t="s">
        <v>363</v>
      </c>
      <c r="K128" s="980"/>
      <c r="L128" s="982"/>
      <c r="M128" s="469" t="s">
        <v>46</v>
      </c>
      <c r="N128" s="469" t="s">
        <v>74</v>
      </c>
      <c r="O128" s="469" t="s">
        <v>21</v>
      </c>
      <c r="P128" s="469" t="s">
        <v>36</v>
      </c>
      <c r="Q128" s="469" t="s">
        <v>229</v>
      </c>
      <c r="R128" s="469" t="s">
        <v>438</v>
      </c>
      <c r="S128" s="469" t="s">
        <v>99</v>
      </c>
      <c r="T128" s="474">
        <v>1</v>
      </c>
      <c r="U128" s="475" t="str">
        <f t="shared" si="62"/>
        <v>Atender las solicitudes de pruebas de los despachos judiciales o terceros intervinientes en el proceso judicial</v>
      </c>
      <c r="V128" s="1002"/>
      <c r="W128" s="477" t="s">
        <v>114</v>
      </c>
      <c r="X128" s="472">
        <v>0.25</v>
      </c>
      <c r="Y128" s="484" t="str">
        <f>+U128</f>
        <v>Atender las solicitudes de pruebas de los despachos judiciales o terceros intervinientes en el proceso judicial</v>
      </c>
      <c r="Z128" s="980"/>
      <c r="AA128" s="480">
        <f>147/148*0.25</f>
        <v>0.2483108108108108</v>
      </c>
      <c r="AB128" s="980"/>
      <c r="AC128" s="478">
        <f t="shared" si="41"/>
        <v>0.9932432432432432</v>
      </c>
      <c r="AD128" s="996"/>
      <c r="AE128" s="478">
        <f t="shared" si="43"/>
        <v>0.2483108108108108</v>
      </c>
      <c r="AF128" s="996"/>
      <c r="AG128" s="483" t="s">
        <v>915</v>
      </c>
      <c r="AH128" s="472">
        <v>0.25</v>
      </c>
      <c r="AI128" s="484" t="str">
        <f>+U128</f>
        <v>Atender las solicitudes de pruebas de los despachos judiciales o terceros intervinientes en el proceso judicial</v>
      </c>
      <c r="AJ128" s="980"/>
      <c r="AK128" s="657">
        <f>(78/93)*AH128</f>
        <v>0.20967741935483872</v>
      </c>
      <c r="AL128" s="1011"/>
      <c r="AM128" s="478">
        <f t="shared" si="45"/>
        <v>0.83870967741935487</v>
      </c>
      <c r="AN128" s="996"/>
      <c r="AO128" s="478">
        <f t="shared" si="47"/>
        <v>0.45798823016564949</v>
      </c>
      <c r="AP128" s="996"/>
      <c r="AQ128" s="478"/>
      <c r="AR128" s="472">
        <v>0.25</v>
      </c>
      <c r="AS128" s="484" t="str">
        <f>+U128</f>
        <v>Atender las solicitudes de pruebas de los despachos judiciales o terceros intervinientes en el proceso judicial</v>
      </c>
      <c r="AT128" s="473">
        <v>0</v>
      </c>
      <c r="AU128" s="479"/>
      <c r="AV128" s="479"/>
      <c r="AW128" s="478">
        <f t="shared" si="49"/>
        <v>0</v>
      </c>
      <c r="AX128" s="478" t="e">
        <f t="shared" si="50"/>
        <v>#DIV/0!</v>
      </c>
      <c r="AY128" s="478">
        <f t="shared" si="51"/>
        <v>0.45798823016564949</v>
      </c>
      <c r="AZ128" s="478" t="e">
        <f t="shared" si="52"/>
        <v>#DIV/0!</v>
      </c>
      <c r="BA128" s="478"/>
      <c r="BB128" s="472">
        <v>0.25</v>
      </c>
      <c r="BC128" s="484" t="str">
        <f>+U128</f>
        <v>Atender las solicitudes de pruebas de los despachos judiciales o terceros intervinientes en el proceso judicial</v>
      </c>
      <c r="BD128" s="473">
        <v>0</v>
      </c>
      <c r="BE128" s="479"/>
      <c r="BF128" s="479"/>
      <c r="BG128" s="472">
        <f t="shared" si="64"/>
        <v>0</v>
      </c>
      <c r="BH128" s="472" t="e">
        <f t="shared" si="65"/>
        <v>#DIV/0!</v>
      </c>
      <c r="BI128" s="472">
        <f t="shared" si="66"/>
        <v>0.45798823016564949</v>
      </c>
      <c r="BJ128" s="472" t="e">
        <f t="shared" si="67"/>
        <v>#DIV/0!</v>
      </c>
      <c r="BK128" s="472"/>
      <c r="BL128" s="533">
        <f t="shared" si="53"/>
        <v>0.9932432432432432</v>
      </c>
      <c r="BM128" s="985"/>
      <c r="BN128" s="533">
        <f t="shared" si="55"/>
        <v>0.83870967741935487</v>
      </c>
      <c r="BO128" s="985"/>
      <c r="BP128" s="533">
        <f t="shared" si="57"/>
        <v>0</v>
      </c>
      <c r="BQ128" s="985"/>
      <c r="BR128" s="533">
        <f t="shared" si="59"/>
        <v>0</v>
      </c>
      <c r="BS128" s="985"/>
      <c r="BT128" s="480">
        <f t="shared" si="61"/>
        <v>0.58333333333333337</v>
      </c>
      <c r="BU128" s="481" t="str">
        <f t="shared" si="87"/>
        <v>Atender las solicitudes de pruebas de los despachos judiciales o terceros intervinientes en el proceso judicial</v>
      </c>
      <c r="BV128" s="482">
        <f t="shared" si="40"/>
        <v>0</v>
      </c>
      <c r="BW128" s="479"/>
      <c r="BX128" s="479"/>
      <c r="BY128" s="479"/>
      <c r="BZ128" s="479"/>
      <c r="CA128" s="479"/>
      <c r="CB128" s="479"/>
      <c r="CC128" s="479"/>
    </row>
    <row r="129" spans="1:81" s="428" customFormat="1" ht="89.25" x14ac:dyDescent="0.25">
      <c r="A129" s="468">
        <v>11900</v>
      </c>
      <c r="B129" s="469" t="s">
        <v>349</v>
      </c>
      <c r="C129" s="470" t="s">
        <v>357</v>
      </c>
      <c r="D129" s="469" t="s">
        <v>146</v>
      </c>
      <c r="E129" s="470" t="s">
        <v>439</v>
      </c>
      <c r="F129" s="469" t="s">
        <v>715</v>
      </c>
      <c r="G129" s="471" t="s">
        <v>123</v>
      </c>
      <c r="H129" s="472">
        <v>1</v>
      </c>
      <c r="I129" s="470" t="s">
        <v>462</v>
      </c>
      <c r="J129" s="469" t="s">
        <v>691</v>
      </c>
      <c r="K129" s="980"/>
      <c r="L129" s="982"/>
      <c r="M129" s="469" t="s">
        <v>46</v>
      </c>
      <c r="N129" s="469" t="s">
        <v>74</v>
      </c>
      <c r="O129" s="469" t="s">
        <v>21</v>
      </c>
      <c r="P129" s="469" t="s">
        <v>36</v>
      </c>
      <c r="Q129" s="469" t="s">
        <v>229</v>
      </c>
      <c r="R129" s="469" t="s">
        <v>442</v>
      </c>
      <c r="S129" s="469" t="s">
        <v>99</v>
      </c>
      <c r="T129" s="474">
        <v>1</v>
      </c>
      <c r="U129" s="475" t="str">
        <f t="shared" si="62"/>
        <v>Fichas técnicas de conciliaciones prejudiciales presentadas a consideración del Comité de Conciliación</v>
      </c>
      <c r="V129" s="1002"/>
      <c r="W129" s="477" t="s">
        <v>114</v>
      </c>
      <c r="X129" s="472">
        <v>0.25</v>
      </c>
      <c r="Y129" s="484" t="str">
        <f>+U129</f>
        <v>Fichas técnicas de conciliaciones prejudiciales presentadas a consideración del Comité de Conciliación</v>
      </c>
      <c r="Z129" s="980"/>
      <c r="AA129" s="480">
        <f>(3/29)*25%</f>
        <v>2.5862068965517241E-2</v>
      </c>
      <c r="AB129" s="980"/>
      <c r="AC129" s="478">
        <f t="shared" si="41"/>
        <v>0.10344827586206896</v>
      </c>
      <c r="AD129" s="996"/>
      <c r="AE129" s="478">
        <f t="shared" si="43"/>
        <v>2.5862068965517241E-2</v>
      </c>
      <c r="AF129" s="996"/>
      <c r="AG129" s="483"/>
      <c r="AH129" s="472">
        <v>0.25</v>
      </c>
      <c r="AI129" s="484" t="str">
        <f>+U129</f>
        <v>Fichas técnicas de conciliaciones prejudiciales presentadas a consideración del Comité de Conciliación</v>
      </c>
      <c r="AJ129" s="980"/>
      <c r="AK129" s="657">
        <f>(16/50)*AH129</f>
        <v>0.08</v>
      </c>
      <c r="AL129" s="1011"/>
      <c r="AM129" s="478">
        <f t="shared" si="45"/>
        <v>0.32</v>
      </c>
      <c r="AN129" s="996"/>
      <c r="AO129" s="478">
        <f t="shared" si="47"/>
        <v>0.10586206896551724</v>
      </c>
      <c r="AP129" s="996"/>
      <c r="AQ129" s="478"/>
      <c r="AR129" s="472">
        <v>0.25</v>
      </c>
      <c r="AS129" s="484" t="str">
        <f>+U129</f>
        <v>Fichas técnicas de conciliaciones prejudiciales presentadas a consideración del Comité de Conciliación</v>
      </c>
      <c r="AT129" s="473">
        <v>0</v>
      </c>
      <c r="AU129" s="479"/>
      <c r="AV129" s="479"/>
      <c r="AW129" s="478">
        <f t="shared" si="49"/>
        <v>0</v>
      </c>
      <c r="AX129" s="478" t="e">
        <f t="shared" si="50"/>
        <v>#DIV/0!</v>
      </c>
      <c r="AY129" s="478">
        <f t="shared" si="51"/>
        <v>0.10586206896551724</v>
      </c>
      <c r="AZ129" s="478" t="e">
        <f t="shared" si="52"/>
        <v>#DIV/0!</v>
      </c>
      <c r="BA129" s="478"/>
      <c r="BB129" s="472">
        <v>0.25</v>
      </c>
      <c r="BC129" s="484" t="str">
        <f>+U129</f>
        <v>Fichas técnicas de conciliaciones prejudiciales presentadas a consideración del Comité de Conciliación</v>
      </c>
      <c r="BD129" s="473">
        <v>0</v>
      </c>
      <c r="BE129" s="479"/>
      <c r="BF129" s="479"/>
      <c r="BG129" s="472">
        <f t="shared" si="64"/>
        <v>0</v>
      </c>
      <c r="BH129" s="472" t="e">
        <f t="shared" si="65"/>
        <v>#DIV/0!</v>
      </c>
      <c r="BI129" s="472">
        <f t="shared" si="66"/>
        <v>0.10586206896551724</v>
      </c>
      <c r="BJ129" s="472" t="e">
        <f t="shared" si="67"/>
        <v>#DIV/0!</v>
      </c>
      <c r="BK129" s="472"/>
      <c r="BL129" s="533">
        <f t="shared" si="53"/>
        <v>0.10344827586206896</v>
      </c>
      <c r="BM129" s="985"/>
      <c r="BN129" s="533">
        <f t="shared" si="55"/>
        <v>0.32</v>
      </c>
      <c r="BO129" s="985"/>
      <c r="BP129" s="533">
        <f t="shared" si="57"/>
        <v>0</v>
      </c>
      <c r="BQ129" s="985"/>
      <c r="BR129" s="533">
        <f t="shared" si="59"/>
        <v>0</v>
      </c>
      <c r="BS129" s="985"/>
      <c r="BT129" s="480">
        <f t="shared" si="61"/>
        <v>0.58333333333333337</v>
      </c>
      <c r="BU129" s="481" t="str">
        <f t="shared" si="87"/>
        <v>Fichas técnicas de conciliaciones prejudiciales presentadas a consideración del Comité de Conciliación</v>
      </c>
      <c r="BV129" s="482">
        <f t="shared" si="40"/>
        <v>0</v>
      </c>
      <c r="BW129" s="479"/>
      <c r="BX129" s="479"/>
      <c r="BY129" s="479"/>
      <c r="BZ129" s="479"/>
      <c r="CA129" s="479"/>
      <c r="CB129" s="479"/>
      <c r="CC129" s="479"/>
    </row>
    <row r="130" spans="1:81" s="428" customFormat="1" ht="89.25" x14ac:dyDescent="0.25">
      <c r="A130" s="468">
        <v>11900</v>
      </c>
      <c r="B130" s="469" t="s">
        <v>349</v>
      </c>
      <c r="C130" s="470" t="s">
        <v>357</v>
      </c>
      <c r="D130" s="469" t="s">
        <v>146</v>
      </c>
      <c r="E130" s="470" t="s">
        <v>439</v>
      </c>
      <c r="F130" s="469" t="s">
        <v>715</v>
      </c>
      <c r="G130" s="471" t="s">
        <v>123</v>
      </c>
      <c r="H130" s="472">
        <v>1</v>
      </c>
      <c r="I130" s="470" t="s">
        <v>718</v>
      </c>
      <c r="J130" s="469" t="s">
        <v>444</v>
      </c>
      <c r="K130" s="980"/>
      <c r="L130" s="982"/>
      <c r="M130" s="469" t="s">
        <v>46</v>
      </c>
      <c r="N130" s="469" t="s">
        <v>74</v>
      </c>
      <c r="O130" s="469" t="s">
        <v>21</v>
      </c>
      <c r="P130" s="469" t="s">
        <v>36</v>
      </c>
      <c r="Q130" s="469" t="s">
        <v>229</v>
      </c>
      <c r="R130" s="469" t="s">
        <v>694</v>
      </c>
      <c r="S130" s="469" t="s">
        <v>99</v>
      </c>
      <c r="T130" s="474">
        <v>1</v>
      </c>
      <c r="U130" s="475" t="str">
        <f t="shared" si="62"/>
        <v>Presentación de fichas técnicas de demandas ordinarias laborales  presentadas al Comité de Conciliación</v>
      </c>
      <c r="V130" s="1003"/>
      <c r="W130" s="477" t="s">
        <v>114</v>
      </c>
      <c r="X130" s="472">
        <v>0.25</v>
      </c>
      <c r="Y130" s="484" t="str">
        <f>+U130</f>
        <v>Presentación de fichas técnicas de demandas ordinarias laborales  presentadas al Comité de Conciliación</v>
      </c>
      <c r="Z130" s="979"/>
      <c r="AA130" s="479">
        <f>0/11</f>
        <v>0</v>
      </c>
      <c r="AB130" s="980"/>
      <c r="AC130" s="478">
        <f>+(AA130/X130)</f>
        <v>0</v>
      </c>
      <c r="AD130" s="996"/>
      <c r="AE130" s="478">
        <f t="shared" si="43"/>
        <v>0</v>
      </c>
      <c r="AF130" s="997"/>
      <c r="AG130" s="483"/>
      <c r="AH130" s="472">
        <v>0.25</v>
      </c>
      <c r="AI130" s="484" t="str">
        <f>+U130</f>
        <v>Presentación de fichas técnicas de demandas ordinarias laborales  presentadas al Comité de Conciliación</v>
      </c>
      <c r="AJ130" s="979"/>
      <c r="AK130" s="657">
        <f>(0/100)*AH130</f>
        <v>0</v>
      </c>
      <c r="AL130" s="991"/>
      <c r="AM130" s="478">
        <f t="shared" si="45"/>
        <v>0</v>
      </c>
      <c r="AN130" s="997"/>
      <c r="AO130" s="478">
        <f t="shared" si="47"/>
        <v>0</v>
      </c>
      <c r="AP130" s="997"/>
      <c r="AQ130" s="478"/>
      <c r="AR130" s="472">
        <v>0.25</v>
      </c>
      <c r="AS130" s="484" t="str">
        <f>+U130</f>
        <v>Presentación de fichas técnicas de demandas ordinarias laborales  presentadas al Comité de Conciliación</v>
      </c>
      <c r="AT130" s="473">
        <v>0</v>
      </c>
      <c r="AU130" s="479"/>
      <c r="AV130" s="479"/>
      <c r="AW130" s="478">
        <f t="shared" si="49"/>
        <v>0</v>
      </c>
      <c r="AX130" s="478" t="e">
        <f t="shared" si="50"/>
        <v>#DIV/0!</v>
      </c>
      <c r="AY130" s="478">
        <f t="shared" si="51"/>
        <v>0</v>
      </c>
      <c r="AZ130" s="478" t="e">
        <f t="shared" si="52"/>
        <v>#DIV/0!</v>
      </c>
      <c r="BA130" s="478"/>
      <c r="BB130" s="472">
        <v>0.25</v>
      </c>
      <c r="BC130" s="484" t="str">
        <f>+U130</f>
        <v>Presentación de fichas técnicas de demandas ordinarias laborales  presentadas al Comité de Conciliación</v>
      </c>
      <c r="BD130" s="473">
        <v>0</v>
      </c>
      <c r="BE130" s="479"/>
      <c r="BF130" s="479"/>
      <c r="BG130" s="472">
        <f t="shared" si="64"/>
        <v>0</v>
      </c>
      <c r="BH130" s="472" t="e">
        <f t="shared" si="65"/>
        <v>#DIV/0!</v>
      </c>
      <c r="BI130" s="472">
        <f t="shared" si="66"/>
        <v>0</v>
      </c>
      <c r="BJ130" s="472" t="e">
        <f t="shared" si="67"/>
        <v>#DIV/0!</v>
      </c>
      <c r="BK130" s="472"/>
      <c r="BL130" s="533">
        <f t="shared" si="53"/>
        <v>0</v>
      </c>
      <c r="BM130" s="986"/>
      <c r="BN130" s="533">
        <f t="shared" si="55"/>
        <v>0</v>
      </c>
      <c r="BO130" s="985"/>
      <c r="BP130" s="533">
        <f t="shared" si="57"/>
        <v>0</v>
      </c>
      <c r="BQ130" s="985"/>
      <c r="BR130" s="533">
        <f t="shared" si="59"/>
        <v>0</v>
      </c>
      <c r="BS130" s="985"/>
      <c r="BT130" s="480">
        <f t="shared" si="61"/>
        <v>0.58333333333333337</v>
      </c>
      <c r="BU130" s="481" t="str">
        <f t="shared" si="87"/>
        <v>Presentación de fichas técnicas de demandas ordinarias laborales  presentadas al Comité de Conciliación</v>
      </c>
      <c r="BV130" s="482">
        <f t="shared" si="40"/>
        <v>0</v>
      </c>
      <c r="BW130" s="479"/>
      <c r="BX130" s="479"/>
      <c r="BY130" s="479"/>
      <c r="BZ130" s="479"/>
      <c r="CA130" s="479"/>
      <c r="CB130" s="479"/>
      <c r="CC130" s="479"/>
    </row>
    <row r="131" spans="1:81" s="428" customFormat="1" ht="51" x14ac:dyDescent="0.25">
      <c r="A131" s="468">
        <v>11900</v>
      </c>
      <c r="B131" s="469" t="s">
        <v>349</v>
      </c>
      <c r="C131" s="470" t="s">
        <v>357</v>
      </c>
      <c r="D131" s="469" t="s">
        <v>146</v>
      </c>
      <c r="E131" s="470" t="s">
        <v>439</v>
      </c>
      <c r="F131" s="469" t="s">
        <v>951</v>
      </c>
      <c r="G131" s="471" t="s">
        <v>124</v>
      </c>
      <c r="H131" s="501">
        <v>24</v>
      </c>
      <c r="I131" s="470" t="s">
        <v>931</v>
      </c>
      <c r="J131" s="477" t="s">
        <v>950</v>
      </c>
      <c r="K131" s="529">
        <v>53164884</v>
      </c>
      <c r="L131" s="530">
        <v>1</v>
      </c>
      <c r="M131" s="469" t="s">
        <v>46</v>
      </c>
      <c r="N131" s="469" t="s">
        <v>74</v>
      </c>
      <c r="O131" s="469" t="s">
        <v>21</v>
      </c>
      <c r="P131" s="469" t="s">
        <v>36</v>
      </c>
      <c r="Q131" s="469" t="s">
        <v>229</v>
      </c>
      <c r="R131" s="469" t="s">
        <v>948</v>
      </c>
      <c r="S131" s="469" t="s">
        <v>99</v>
      </c>
      <c r="T131" s="502">
        <v>24</v>
      </c>
      <c r="U131" s="475" t="str">
        <f>+J131</f>
        <v>Realizar el Comité de Conciliación</v>
      </c>
      <c r="V131" s="476">
        <f>+K131</f>
        <v>53164884</v>
      </c>
      <c r="W131" s="477" t="s">
        <v>114</v>
      </c>
      <c r="X131" s="501">
        <v>6</v>
      </c>
      <c r="Y131" s="484" t="str">
        <f>+U131</f>
        <v>Realizar el Comité de Conciliación</v>
      </c>
      <c r="Z131" s="473">
        <f>+V131*25%</f>
        <v>13291221</v>
      </c>
      <c r="AA131" s="479">
        <v>3</v>
      </c>
      <c r="AB131" s="529">
        <v>5464169</v>
      </c>
      <c r="AC131" s="478">
        <f>+(AA131/X131)</f>
        <v>0.5</v>
      </c>
      <c r="AD131" s="478">
        <f>+(AB131/Z131)</f>
        <v>0.41111113869824301</v>
      </c>
      <c r="AE131" s="478">
        <f t="shared" si="43"/>
        <v>0.125</v>
      </c>
      <c r="AF131" s="478">
        <f t="shared" si="44"/>
        <v>0.10277778467456075</v>
      </c>
      <c r="AG131" s="483"/>
      <c r="AH131" s="501">
        <v>6</v>
      </c>
      <c r="AI131" s="484" t="str">
        <f>+U131</f>
        <v>Realizar el Comité de Conciliación</v>
      </c>
      <c r="AJ131" s="473">
        <v>13291221</v>
      </c>
      <c r="AK131" s="771">
        <f>5</f>
        <v>5</v>
      </c>
      <c r="AL131" s="661">
        <v>13291221</v>
      </c>
      <c r="AM131" s="478">
        <f t="shared" ref="AM131" si="90">+(AK131/AH131)</f>
        <v>0.83333333333333337</v>
      </c>
      <c r="AN131" s="478">
        <f t="shared" ref="AN131" si="91">+(AL131/AJ131)</f>
        <v>1</v>
      </c>
      <c r="AO131" s="478">
        <f t="shared" ref="AO131" si="92">+(AK131+AA131)/T131</f>
        <v>0.33333333333333331</v>
      </c>
      <c r="AP131" s="478">
        <f t="shared" ref="AP131" si="93">+(AL131+AB131)/V131</f>
        <v>0.35277778467456072</v>
      </c>
      <c r="AQ131" s="478"/>
      <c r="AR131" s="501">
        <v>6</v>
      </c>
      <c r="AS131" s="484" t="str">
        <f>+U131</f>
        <v>Realizar el Comité de Conciliación</v>
      </c>
      <c r="AT131" s="473">
        <v>13291221</v>
      </c>
      <c r="AU131" s="479"/>
      <c r="AV131" s="479"/>
      <c r="AW131" s="478">
        <f t="shared" ref="AW131" si="94">+(AU131/AR131)</f>
        <v>0</v>
      </c>
      <c r="AX131" s="478">
        <f t="shared" ref="AX131" si="95">+(AV131/AT131)</f>
        <v>0</v>
      </c>
      <c r="AY131" s="478">
        <f t="shared" ref="AY131" si="96">+(AK131+AA131+AU131)/T131</f>
        <v>0.33333333333333331</v>
      </c>
      <c r="AZ131" s="478">
        <f t="shared" ref="AZ131" si="97">+(AL131+AB131+AV131)/V131</f>
        <v>0.35277778467456072</v>
      </c>
      <c r="BA131" s="478"/>
      <c r="BB131" s="501">
        <v>6</v>
      </c>
      <c r="BC131" s="484" t="str">
        <f>+U131</f>
        <v>Realizar el Comité de Conciliación</v>
      </c>
      <c r="BD131" s="473">
        <v>13291221</v>
      </c>
      <c r="BE131" s="479"/>
      <c r="BF131" s="479"/>
      <c r="BG131" s="472">
        <f t="shared" ref="BG131" si="98">+(BE131/BB131)</f>
        <v>0</v>
      </c>
      <c r="BH131" s="472">
        <f t="shared" ref="BH131" si="99">+(BF131/BD131)</f>
        <v>0</v>
      </c>
      <c r="BI131" s="472">
        <f t="shared" ref="BI131" si="100">+(AK131+AA131+AU131+BE131)/T131</f>
        <v>0.33333333333333331</v>
      </c>
      <c r="BJ131" s="472">
        <f t="shared" ref="BJ131" si="101">+(AL131+AB131+AV131+BF131)/V131</f>
        <v>0.35277778467456072</v>
      </c>
      <c r="BK131" s="472"/>
      <c r="BL131" s="533">
        <f t="shared" si="53"/>
        <v>0.5</v>
      </c>
      <c r="BM131" s="533">
        <f t="shared" si="54"/>
        <v>0.41111113869824301</v>
      </c>
      <c r="BN131" s="533">
        <f t="shared" si="55"/>
        <v>0.83333333333333337</v>
      </c>
      <c r="BO131" s="533">
        <f t="shared" si="56"/>
        <v>1</v>
      </c>
      <c r="BP131" s="533">
        <f t="shared" si="57"/>
        <v>0</v>
      </c>
      <c r="BQ131" s="533">
        <f t="shared" si="58"/>
        <v>0</v>
      </c>
      <c r="BR131" s="533">
        <f t="shared" si="59"/>
        <v>0</v>
      </c>
      <c r="BS131" s="533">
        <f t="shared" si="60"/>
        <v>0</v>
      </c>
      <c r="BT131" s="507">
        <f>+(X131+AH131+(AR131/3))</f>
        <v>14</v>
      </c>
      <c r="BU131" s="481" t="str">
        <f>+U131</f>
        <v>Realizar el Comité de Conciliación</v>
      </c>
      <c r="BV131" s="482">
        <f t="shared" si="40"/>
        <v>31012849</v>
      </c>
      <c r="BW131" s="479"/>
      <c r="BX131" s="479"/>
      <c r="BY131" s="479"/>
      <c r="BZ131" s="479"/>
      <c r="CA131" s="479"/>
      <c r="CB131" s="479"/>
      <c r="CC131" s="479"/>
    </row>
    <row r="132" spans="1:81" s="428" customFormat="1" ht="114.75" x14ac:dyDescent="0.25">
      <c r="A132" s="468">
        <v>11900</v>
      </c>
      <c r="B132" s="469" t="s">
        <v>349</v>
      </c>
      <c r="C132" s="470" t="s">
        <v>357</v>
      </c>
      <c r="D132" s="469" t="s">
        <v>146</v>
      </c>
      <c r="E132" s="470" t="s">
        <v>373</v>
      </c>
      <c r="F132" s="469" t="s">
        <v>364</v>
      </c>
      <c r="G132" s="471" t="s">
        <v>123</v>
      </c>
      <c r="H132" s="472">
        <v>1</v>
      </c>
      <c r="I132" s="470" t="s">
        <v>460</v>
      </c>
      <c r="J132" s="469" t="s">
        <v>368</v>
      </c>
      <c r="K132" s="978">
        <v>151084884</v>
      </c>
      <c r="L132" s="981">
        <v>1</v>
      </c>
      <c r="M132" s="469" t="s">
        <v>46</v>
      </c>
      <c r="N132" s="469" t="s">
        <v>74</v>
      </c>
      <c r="O132" s="469" t="s">
        <v>21</v>
      </c>
      <c r="P132" s="469" t="s">
        <v>36</v>
      </c>
      <c r="Q132" s="469" t="s">
        <v>229</v>
      </c>
      <c r="R132" s="469" t="s">
        <v>695</v>
      </c>
      <c r="S132" s="469" t="s">
        <v>99</v>
      </c>
      <c r="T132" s="474">
        <v>1</v>
      </c>
      <c r="U132" s="475" t="str">
        <f t="shared" si="62"/>
        <v>Dar respuesta a las reclamaciones administrativas radicadas por las EPS o IPS dentro del término legal</v>
      </c>
      <c r="V132" s="476">
        <f t="shared" si="63"/>
        <v>151084884</v>
      </c>
      <c r="W132" s="477" t="s">
        <v>114</v>
      </c>
      <c r="X132" s="472">
        <v>0.25</v>
      </c>
      <c r="Y132" s="484" t="str">
        <f>+U132</f>
        <v>Dar respuesta a las reclamaciones administrativas radicadas por las EPS o IPS dentro del término legal</v>
      </c>
      <c r="Z132" s="978">
        <f>+X132*V132</f>
        <v>37771221</v>
      </c>
      <c r="AA132" s="480">
        <f>65/66*0.25</f>
        <v>0.24621212121212122</v>
      </c>
      <c r="AB132" s="978">
        <f>8346884</f>
        <v>8346884</v>
      </c>
      <c r="AC132" s="478">
        <f t="shared" si="41"/>
        <v>0.98484848484848486</v>
      </c>
      <c r="AD132" s="995">
        <f>+(AB132/Z132)</f>
        <v>0.22098528400763109</v>
      </c>
      <c r="AE132" s="478">
        <f t="shared" si="43"/>
        <v>0.24621212121212122</v>
      </c>
      <c r="AF132" s="995">
        <f t="shared" si="44"/>
        <v>5.5246321001907774E-2</v>
      </c>
      <c r="AG132" s="483" t="s">
        <v>916</v>
      </c>
      <c r="AH132" s="472">
        <v>0.25</v>
      </c>
      <c r="AI132" s="484" t="str">
        <f>+U132</f>
        <v>Dar respuesta a las reclamaciones administrativas radicadas por las EPS o IPS dentro del término legal</v>
      </c>
      <c r="AJ132" s="978">
        <v>37771221</v>
      </c>
      <c r="AK132" s="657">
        <f>(40/41)*AH132</f>
        <v>0.24390243902439024</v>
      </c>
      <c r="AL132" s="990">
        <v>12240000</v>
      </c>
      <c r="AM132" s="478">
        <f t="shared" si="45"/>
        <v>0.97560975609756095</v>
      </c>
      <c r="AN132" s="995">
        <f t="shared" si="46"/>
        <v>0.32405624377353331</v>
      </c>
      <c r="AO132" s="478">
        <f t="shared" si="47"/>
        <v>0.49011456023651145</v>
      </c>
      <c r="AP132" s="995">
        <f t="shared" si="48"/>
        <v>0.13626038194529111</v>
      </c>
      <c r="AQ132" s="770"/>
      <c r="AR132" s="472">
        <v>0.25</v>
      </c>
      <c r="AS132" s="484" t="str">
        <f>+U132</f>
        <v>Dar respuesta a las reclamaciones administrativas radicadas por las EPS o IPS dentro del término legal</v>
      </c>
      <c r="AT132" s="473">
        <v>37771221</v>
      </c>
      <c r="AU132" s="479"/>
      <c r="AV132" s="992"/>
      <c r="AW132" s="478">
        <f t="shared" si="49"/>
        <v>0</v>
      </c>
      <c r="AX132" s="995">
        <f t="shared" si="50"/>
        <v>0</v>
      </c>
      <c r="AY132" s="478">
        <f t="shared" si="51"/>
        <v>0.49011456023651145</v>
      </c>
      <c r="AZ132" s="995">
        <f t="shared" si="52"/>
        <v>0.13626038194529111</v>
      </c>
      <c r="BA132" s="504"/>
      <c r="BB132" s="472">
        <v>0.25</v>
      </c>
      <c r="BC132" s="484" t="str">
        <f>+U132</f>
        <v>Dar respuesta a las reclamaciones administrativas radicadas por las EPS o IPS dentro del término legal</v>
      </c>
      <c r="BD132" s="473">
        <v>37771221</v>
      </c>
      <c r="BE132" s="479"/>
      <c r="BF132" s="992"/>
      <c r="BG132" s="472">
        <f t="shared" si="64"/>
        <v>0</v>
      </c>
      <c r="BH132" s="975">
        <f t="shared" si="65"/>
        <v>0</v>
      </c>
      <c r="BI132" s="472">
        <f t="shared" si="66"/>
        <v>0.49011456023651145</v>
      </c>
      <c r="BJ132" s="975">
        <f t="shared" si="67"/>
        <v>0.13626038194529111</v>
      </c>
      <c r="BK132" s="531"/>
      <c r="BL132" s="533">
        <f t="shared" si="53"/>
        <v>0.98484848484848486</v>
      </c>
      <c r="BM132" s="984">
        <f t="shared" si="54"/>
        <v>0.22098528400763109</v>
      </c>
      <c r="BN132" s="533">
        <f t="shared" si="55"/>
        <v>0.97560975609756095</v>
      </c>
      <c r="BO132" s="984">
        <f t="shared" si="56"/>
        <v>0.32405624377353331</v>
      </c>
      <c r="BP132" s="533">
        <f t="shared" si="57"/>
        <v>0</v>
      </c>
      <c r="BQ132" s="984">
        <f t="shared" si="58"/>
        <v>0</v>
      </c>
      <c r="BR132" s="533">
        <f t="shared" si="59"/>
        <v>0</v>
      </c>
      <c r="BS132" s="984">
        <f t="shared" si="60"/>
        <v>0</v>
      </c>
      <c r="BT132" s="480">
        <f t="shared" si="61"/>
        <v>0.58333333333333337</v>
      </c>
      <c r="BU132" s="481" t="str">
        <f t="shared" si="87"/>
        <v>Dar respuesta a las reclamaciones administrativas radicadas por las EPS o IPS dentro del término legal</v>
      </c>
      <c r="BV132" s="482">
        <f t="shared" si="40"/>
        <v>88132849</v>
      </c>
      <c r="BW132" s="479"/>
      <c r="BX132" s="479"/>
      <c r="BY132" s="479"/>
      <c r="BZ132" s="479"/>
      <c r="CA132" s="479"/>
      <c r="CB132" s="479"/>
      <c r="CC132" s="479"/>
    </row>
    <row r="133" spans="1:81" s="428" customFormat="1" ht="102" x14ac:dyDescent="0.25">
      <c r="A133" s="468">
        <v>11900</v>
      </c>
      <c r="B133" s="469" t="s">
        <v>349</v>
      </c>
      <c r="C133" s="470" t="s">
        <v>357</v>
      </c>
      <c r="D133" s="469" t="s">
        <v>146</v>
      </c>
      <c r="E133" s="470" t="s">
        <v>435</v>
      </c>
      <c r="F133" s="469" t="s">
        <v>365</v>
      </c>
      <c r="G133" s="471" t="s">
        <v>123</v>
      </c>
      <c r="H133" s="472">
        <v>1</v>
      </c>
      <c r="I133" s="470" t="s">
        <v>461</v>
      </c>
      <c r="J133" s="469" t="s">
        <v>369</v>
      </c>
      <c r="K133" s="980"/>
      <c r="L133" s="982"/>
      <c r="M133" s="469" t="s">
        <v>46</v>
      </c>
      <c r="N133" s="469" t="s">
        <v>74</v>
      </c>
      <c r="O133" s="469" t="s">
        <v>21</v>
      </c>
      <c r="P133" s="469" t="s">
        <v>36</v>
      </c>
      <c r="Q133" s="469" t="s">
        <v>229</v>
      </c>
      <c r="R133" s="469" t="s">
        <v>696</v>
      </c>
      <c r="S133" s="469" t="s">
        <v>99</v>
      </c>
      <c r="T133" s="474">
        <v>1</v>
      </c>
      <c r="U133" s="475" t="str">
        <f t="shared" si="62"/>
        <v>Interponer oportunamente los recursos de Ley contra los actos administrativos de Colpensiones que ordenan la devolución de aportes al extinto FOYSGA, hoy Administradora de los Recursos del Sistema General de Seguridad Social en Salud - ADRES</v>
      </c>
      <c r="V133" s="476">
        <f t="shared" si="63"/>
        <v>0</v>
      </c>
      <c r="W133" s="477" t="s">
        <v>114</v>
      </c>
      <c r="X133" s="472">
        <v>0.25</v>
      </c>
      <c r="Y133" s="484" t="str">
        <f>+U133</f>
        <v>Interponer oportunamente los recursos de Ley contra los actos administrativos de Colpensiones que ordenan la devolución de aportes al extinto FOYSGA, hoy Administradora de los Recursos del Sistema General de Seguridad Social en Salud - ADRES</v>
      </c>
      <c r="Z133" s="980"/>
      <c r="AA133" s="480">
        <f>162/167*0.25</f>
        <v>0.24251497005988024</v>
      </c>
      <c r="AB133" s="980"/>
      <c r="AC133" s="478">
        <f t="shared" si="41"/>
        <v>0.97005988023952094</v>
      </c>
      <c r="AD133" s="996"/>
      <c r="AE133" s="478">
        <f t="shared" si="43"/>
        <v>0.24251497005988024</v>
      </c>
      <c r="AF133" s="996"/>
      <c r="AG133" s="478"/>
      <c r="AH133" s="472">
        <v>0.25</v>
      </c>
      <c r="AI133" s="484" t="str">
        <f>+U133</f>
        <v>Interponer oportunamente los recursos de Ley contra los actos administrativos de Colpensiones que ordenan la devolución de aportes al extinto FOYSGA, hoy Administradora de los Recursos del Sistema General de Seguridad Social en Salud - ADRES</v>
      </c>
      <c r="AJ133" s="980"/>
      <c r="AK133" s="657">
        <f>(132/132)*AH133</f>
        <v>0.25</v>
      </c>
      <c r="AL133" s="1011"/>
      <c r="AM133" s="478">
        <f t="shared" si="45"/>
        <v>1</v>
      </c>
      <c r="AN133" s="996"/>
      <c r="AO133" s="478">
        <f t="shared" si="47"/>
        <v>0.49251497005988021</v>
      </c>
      <c r="AP133" s="996"/>
      <c r="AQ133" s="770"/>
      <c r="AR133" s="472">
        <v>0.25</v>
      </c>
      <c r="AS133" s="484" t="str">
        <f>+U133</f>
        <v>Interponer oportunamente los recursos de Ley contra los actos administrativos de Colpensiones que ordenan la devolución de aportes al extinto FOYSGA, hoy Administradora de los Recursos del Sistema General de Seguridad Social en Salud - ADRES</v>
      </c>
      <c r="AT133" s="473">
        <v>0</v>
      </c>
      <c r="AU133" s="479"/>
      <c r="AV133" s="993"/>
      <c r="AW133" s="478">
        <f t="shared" si="49"/>
        <v>0</v>
      </c>
      <c r="AX133" s="996"/>
      <c r="AY133" s="478">
        <f t="shared" si="51"/>
        <v>0.49251497005988021</v>
      </c>
      <c r="AZ133" s="996"/>
      <c r="BA133" s="505"/>
      <c r="BB133" s="472">
        <v>0.25</v>
      </c>
      <c r="BC133" s="484" t="str">
        <f>+U133</f>
        <v>Interponer oportunamente los recursos de Ley contra los actos administrativos de Colpensiones que ordenan la devolución de aportes al extinto FOYSGA, hoy Administradora de los Recursos del Sistema General de Seguridad Social en Salud - ADRES</v>
      </c>
      <c r="BD133" s="473">
        <v>0</v>
      </c>
      <c r="BE133" s="479"/>
      <c r="BF133" s="993"/>
      <c r="BG133" s="472">
        <f t="shared" si="64"/>
        <v>0</v>
      </c>
      <c r="BH133" s="998"/>
      <c r="BI133" s="472">
        <f t="shared" si="66"/>
        <v>0.49251497005988021</v>
      </c>
      <c r="BJ133" s="998"/>
      <c r="BK133" s="532"/>
      <c r="BL133" s="533">
        <f t="shared" si="53"/>
        <v>0.97005988023952094</v>
      </c>
      <c r="BM133" s="985"/>
      <c r="BN133" s="533">
        <f t="shared" si="55"/>
        <v>1</v>
      </c>
      <c r="BO133" s="985"/>
      <c r="BP133" s="533">
        <f t="shared" si="57"/>
        <v>0</v>
      </c>
      <c r="BQ133" s="985"/>
      <c r="BR133" s="533">
        <f t="shared" si="59"/>
        <v>0</v>
      </c>
      <c r="BS133" s="985"/>
      <c r="BT133" s="480">
        <f t="shared" si="61"/>
        <v>0.58333333333333337</v>
      </c>
      <c r="BU133" s="481" t="str">
        <f t="shared" si="87"/>
        <v>Interponer oportunamente los recursos de Ley contra los actos administrativos de Colpensiones que ordenan la devolución de aportes al extinto FOYSGA, hoy Administradora de los Recursos del Sistema General de Seguridad Social en Salud - ADRES</v>
      </c>
      <c r="BV133" s="482">
        <f t="shared" si="40"/>
        <v>0</v>
      </c>
      <c r="BW133" s="479"/>
      <c r="BX133" s="479"/>
      <c r="BY133" s="479"/>
      <c r="BZ133" s="479"/>
      <c r="CA133" s="479"/>
      <c r="CB133" s="479"/>
      <c r="CC133" s="479"/>
    </row>
    <row r="134" spans="1:81" s="428" customFormat="1" ht="63.75" x14ac:dyDescent="0.25">
      <c r="A134" s="468">
        <v>11900</v>
      </c>
      <c r="B134" s="469" t="s">
        <v>349</v>
      </c>
      <c r="C134" s="470" t="s">
        <v>357</v>
      </c>
      <c r="D134" s="469" t="s">
        <v>146</v>
      </c>
      <c r="E134" s="470" t="s">
        <v>443</v>
      </c>
      <c r="F134" s="469" t="s">
        <v>568</v>
      </c>
      <c r="G134" s="471" t="s">
        <v>123</v>
      </c>
      <c r="H134" s="472">
        <v>1</v>
      </c>
      <c r="I134" s="470" t="s">
        <v>548</v>
      </c>
      <c r="J134" s="469" t="s">
        <v>697</v>
      </c>
      <c r="K134" s="980"/>
      <c r="L134" s="982"/>
      <c r="M134" s="469" t="s">
        <v>46</v>
      </c>
      <c r="N134" s="469" t="s">
        <v>74</v>
      </c>
      <c r="O134" s="469" t="s">
        <v>21</v>
      </c>
      <c r="P134" s="469" t="s">
        <v>36</v>
      </c>
      <c r="Q134" s="469" t="s">
        <v>229</v>
      </c>
      <c r="R134" s="469" t="s">
        <v>698</v>
      </c>
      <c r="S134" s="469" t="s">
        <v>99</v>
      </c>
      <c r="T134" s="474">
        <v>1</v>
      </c>
      <c r="U134" s="475" t="str">
        <f t="shared" si="62"/>
        <v xml:space="preserve">Solicitudes de embargos </v>
      </c>
      <c r="V134" s="476">
        <f t="shared" si="63"/>
        <v>0</v>
      </c>
      <c r="W134" s="477" t="s">
        <v>114</v>
      </c>
      <c r="X134" s="472">
        <v>0.25</v>
      </c>
      <c r="Y134" s="484" t="str">
        <f>+U134</f>
        <v xml:space="preserve">Solicitudes de embargos </v>
      </c>
      <c r="Z134" s="979"/>
      <c r="AA134" s="480">
        <f>72/72*0.25</f>
        <v>0.25</v>
      </c>
      <c r="AB134" s="980"/>
      <c r="AC134" s="478">
        <f t="shared" si="41"/>
        <v>1</v>
      </c>
      <c r="AD134" s="996"/>
      <c r="AE134" s="478">
        <f t="shared" si="43"/>
        <v>0.25</v>
      </c>
      <c r="AF134" s="996"/>
      <c r="AG134" s="478"/>
      <c r="AH134" s="472">
        <v>0.25</v>
      </c>
      <c r="AI134" s="484" t="str">
        <f>+U134</f>
        <v xml:space="preserve">Solicitudes de embargos </v>
      </c>
      <c r="AJ134" s="979"/>
      <c r="AK134" s="657">
        <f>(212/212)*AH134</f>
        <v>0.25</v>
      </c>
      <c r="AL134" s="991"/>
      <c r="AM134" s="478">
        <f t="shared" si="45"/>
        <v>1</v>
      </c>
      <c r="AN134" s="996"/>
      <c r="AO134" s="478">
        <f t="shared" si="47"/>
        <v>0.5</v>
      </c>
      <c r="AP134" s="996"/>
      <c r="AQ134" s="770"/>
      <c r="AR134" s="472">
        <v>0.25</v>
      </c>
      <c r="AS134" s="484" t="str">
        <f>+U134</f>
        <v xml:space="preserve">Solicitudes de embargos </v>
      </c>
      <c r="AT134" s="473">
        <v>0</v>
      </c>
      <c r="AU134" s="479"/>
      <c r="AV134" s="993"/>
      <c r="AW134" s="478">
        <f t="shared" si="49"/>
        <v>0</v>
      </c>
      <c r="AX134" s="996"/>
      <c r="AY134" s="478">
        <f t="shared" si="51"/>
        <v>0.5</v>
      </c>
      <c r="AZ134" s="996"/>
      <c r="BA134" s="505"/>
      <c r="BB134" s="472">
        <v>0.25</v>
      </c>
      <c r="BC134" s="484" t="str">
        <f>+U134</f>
        <v xml:space="preserve">Solicitudes de embargos </v>
      </c>
      <c r="BD134" s="473">
        <v>0</v>
      </c>
      <c r="BE134" s="479"/>
      <c r="BF134" s="993"/>
      <c r="BG134" s="472">
        <f t="shared" si="64"/>
        <v>0</v>
      </c>
      <c r="BH134" s="998"/>
      <c r="BI134" s="472">
        <f t="shared" si="66"/>
        <v>0.5</v>
      </c>
      <c r="BJ134" s="998"/>
      <c r="BK134" s="532"/>
      <c r="BL134" s="533">
        <f t="shared" si="53"/>
        <v>1</v>
      </c>
      <c r="BM134" s="985"/>
      <c r="BN134" s="533">
        <f t="shared" si="55"/>
        <v>1</v>
      </c>
      <c r="BO134" s="985"/>
      <c r="BP134" s="533">
        <f t="shared" si="57"/>
        <v>0</v>
      </c>
      <c r="BQ134" s="985"/>
      <c r="BR134" s="533">
        <f t="shared" si="59"/>
        <v>0</v>
      </c>
      <c r="BS134" s="985"/>
      <c r="BT134" s="480">
        <f t="shared" si="61"/>
        <v>0.58333333333333337</v>
      </c>
      <c r="BU134" s="481" t="str">
        <f t="shared" si="87"/>
        <v xml:space="preserve">Solicitudes de embargos </v>
      </c>
      <c r="BV134" s="482">
        <f t="shared" si="40"/>
        <v>0</v>
      </c>
      <c r="BW134" s="479"/>
      <c r="BX134" s="479"/>
      <c r="BY134" s="479"/>
      <c r="BZ134" s="479"/>
      <c r="CA134" s="479"/>
      <c r="CB134" s="479"/>
      <c r="CC134" s="479"/>
    </row>
    <row r="135" spans="1:81" s="428" customFormat="1" ht="51" x14ac:dyDescent="0.25">
      <c r="A135" s="468">
        <v>11900</v>
      </c>
      <c r="B135" s="469" t="s">
        <v>349</v>
      </c>
      <c r="C135" s="470" t="s">
        <v>357</v>
      </c>
      <c r="D135" s="469" t="s">
        <v>146</v>
      </c>
      <c r="E135" s="470" t="s">
        <v>447</v>
      </c>
      <c r="F135" s="469" t="s">
        <v>448</v>
      </c>
      <c r="G135" s="471" t="s">
        <v>123</v>
      </c>
      <c r="H135" s="472">
        <v>1</v>
      </c>
      <c r="I135" s="470" t="s">
        <v>463</v>
      </c>
      <c r="J135" s="469" t="s">
        <v>551</v>
      </c>
      <c r="K135" s="473">
        <f>590922272-199920000</f>
        <v>391002272</v>
      </c>
      <c r="L135" s="474">
        <v>1</v>
      </c>
      <c r="M135" s="469" t="s">
        <v>46</v>
      </c>
      <c r="N135" s="469" t="s">
        <v>74</v>
      </c>
      <c r="O135" s="469" t="s">
        <v>21</v>
      </c>
      <c r="P135" s="469" t="s">
        <v>36</v>
      </c>
      <c r="Q135" s="469" t="s">
        <v>229</v>
      </c>
      <c r="R135" s="469" t="s">
        <v>765</v>
      </c>
      <c r="S135" s="469" t="s">
        <v>99</v>
      </c>
      <c r="T135" s="474">
        <v>1</v>
      </c>
      <c r="U135" s="475" t="str">
        <f t="shared" si="62"/>
        <v>Conceptos</v>
      </c>
      <c r="V135" s="476">
        <f t="shared" si="63"/>
        <v>391002272</v>
      </c>
      <c r="W135" s="477" t="s">
        <v>114</v>
      </c>
      <c r="X135" s="472">
        <v>0.25</v>
      </c>
      <c r="Y135" s="484" t="str">
        <f>+U135</f>
        <v>Conceptos</v>
      </c>
      <c r="Z135" s="473">
        <f>+V135*X135</f>
        <v>97750568</v>
      </c>
      <c r="AA135" s="480">
        <f>13/16*0.25</f>
        <v>0.203125</v>
      </c>
      <c r="AB135" s="572">
        <f>10928337+25969417</f>
        <v>36897754</v>
      </c>
      <c r="AC135" s="478">
        <f t="shared" si="41"/>
        <v>0.8125</v>
      </c>
      <c r="AD135" s="478">
        <f t="shared" si="42"/>
        <v>0.37746843578443451</v>
      </c>
      <c r="AE135" s="478">
        <f t="shared" si="43"/>
        <v>0.203125</v>
      </c>
      <c r="AF135" s="478">
        <f t="shared" si="44"/>
        <v>9.4367108946108627E-2</v>
      </c>
      <c r="AG135" s="478"/>
      <c r="AH135" s="472">
        <v>0.25</v>
      </c>
      <c r="AI135" s="484" t="str">
        <f>+U135</f>
        <v>Conceptos</v>
      </c>
      <c r="AJ135" s="473">
        <v>147730568</v>
      </c>
      <c r="AK135" s="657">
        <f>(17/20)*AH135</f>
        <v>0.21249999999999999</v>
      </c>
      <c r="AL135" s="616">
        <f>13291221+53119263</f>
        <v>66410484</v>
      </c>
      <c r="AM135" s="478">
        <f t="shared" si="45"/>
        <v>0.85</v>
      </c>
      <c r="AN135" s="478">
        <f>+(AL135/AJ135)</f>
        <v>0.44953786409323221</v>
      </c>
      <c r="AO135" s="478">
        <f t="shared" si="47"/>
        <v>0.41562500000000002</v>
      </c>
      <c r="AP135" s="478">
        <f t="shared" si="48"/>
        <v>0.26421390717647797</v>
      </c>
      <c r="AQ135" s="478"/>
      <c r="AR135" s="472">
        <v>0.25</v>
      </c>
      <c r="AS135" s="484" t="str">
        <f>+U135</f>
        <v>Conceptos</v>
      </c>
      <c r="AT135" s="473">
        <v>147730568</v>
      </c>
      <c r="AU135" s="479"/>
      <c r="AV135" s="479"/>
      <c r="AW135" s="478">
        <f t="shared" si="49"/>
        <v>0</v>
      </c>
      <c r="AX135" s="478">
        <f t="shared" si="50"/>
        <v>0</v>
      </c>
      <c r="AY135" s="478">
        <f t="shared" si="51"/>
        <v>0.41562500000000002</v>
      </c>
      <c r="AZ135" s="478">
        <f t="shared" si="52"/>
        <v>0.26421390717647797</v>
      </c>
      <c r="BA135" s="478"/>
      <c r="BB135" s="472">
        <v>0.25</v>
      </c>
      <c r="BC135" s="484" t="str">
        <f>+U135</f>
        <v>Conceptos</v>
      </c>
      <c r="BD135" s="473">
        <v>147730568</v>
      </c>
      <c r="BE135" s="479"/>
      <c r="BF135" s="479"/>
      <c r="BG135" s="472">
        <f t="shared" si="64"/>
        <v>0</v>
      </c>
      <c r="BH135" s="472">
        <f t="shared" si="65"/>
        <v>0</v>
      </c>
      <c r="BI135" s="472">
        <f t="shared" si="66"/>
        <v>0.41562500000000002</v>
      </c>
      <c r="BJ135" s="472">
        <f t="shared" si="67"/>
        <v>0.26421390717647797</v>
      </c>
      <c r="BK135" s="472"/>
      <c r="BL135" s="533">
        <f t="shared" si="53"/>
        <v>0.8125</v>
      </c>
      <c r="BM135" s="533">
        <f t="shared" si="54"/>
        <v>0.37746843578443451</v>
      </c>
      <c r="BN135" s="533">
        <f t="shared" si="55"/>
        <v>0.85</v>
      </c>
      <c r="BO135" s="533">
        <f t="shared" si="56"/>
        <v>0.44953786409323221</v>
      </c>
      <c r="BP135" s="533">
        <f t="shared" si="57"/>
        <v>0</v>
      </c>
      <c r="BQ135" s="533">
        <f t="shared" si="58"/>
        <v>0</v>
      </c>
      <c r="BR135" s="533">
        <f t="shared" si="59"/>
        <v>0</v>
      </c>
      <c r="BS135" s="533">
        <f t="shared" si="60"/>
        <v>0</v>
      </c>
      <c r="BT135" s="480">
        <f t="shared" si="61"/>
        <v>0.58333333333333337</v>
      </c>
      <c r="BU135" s="481" t="str">
        <f t="shared" si="87"/>
        <v>Conceptos</v>
      </c>
      <c r="BV135" s="482">
        <f t="shared" si="40"/>
        <v>294724658.66666669</v>
      </c>
      <c r="BW135" s="479"/>
      <c r="BX135" s="479"/>
      <c r="BY135" s="479"/>
      <c r="BZ135" s="479"/>
      <c r="CA135" s="479"/>
      <c r="CB135" s="479"/>
      <c r="CC135" s="479"/>
    </row>
    <row r="136" spans="1:81" s="428" customFormat="1" ht="63.75" x14ac:dyDescent="0.25">
      <c r="A136" s="468">
        <v>11900</v>
      </c>
      <c r="B136" s="469" t="s">
        <v>349</v>
      </c>
      <c r="C136" s="470" t="s">
        <v>357</v>
      </c>
      <c r="D136" s="469" t="s">
        <v>146</v>
      </c>
      <c r="E136" s="470" t="s">
        <v>450</v>
      </c>
      <c r="F136" s="469" t="s">
        <v>449</v>
      </c>
      <c r="G136" s="471" t="s">
        <v>124</v>
      </c>
      <c r="H136" s="501">
        <v>2</v>
      </c>
      <c r="I136" s="470" t="s">
        <v>549</v>
      </c>
      <c r="J136" s="469" t="s">
        <v>699</v>
      </c>
      <c r="K136" s="473">
        <v>0</v>
      </c>
      <c r="L136" s="474">
        <v>1</v>
      </c>
      <c r="M136" s="469" t="s">
        <v>46</v>
      </c>
      <c r="N136" s="469" t="s">
        <v>74</v>
      </c>
      <c r="O136" s="469" t="s">
        <v>21</v>
      </c>
      <c r="P136" s="469" t="s">
        <v>36</v>
      </c>
      <c r="Q136" s="469" t="s">
        <v>229</v>
      </c>
      <c r="R136" s="469" t="s">
        <v>631</v>
      </c>
      <c r="S136" s="469" t="s">
        <v>99</v>
      </c>
      <c r="T136" s="502">
        <v>2</v>
      </c>
      <c r="U136" s="475" t="str">
        <f t="shared" si="62"/>
        <v>Informe de identificación de  reclamaciones contenidas en actos administrativos debidamente ejecutoriados y con mora mayor a 180 días</v>
      </c>
      <c r="V136" s="476">
        <f t="shared" si="63"/>
        <v>0</v>
      </c>
      <c r="W136" s="477" t="s">
        <v>117</v>
      </c>
      <c r="X136" s="501">
        <v>2</v>
      </c>
      <c r="Y136" s="484" t="str">
        <f>+U136</f>
        <v>Informe de identificación de  reclamaciones contenidas en actos administrativos debidamente ejecutoriados y con mora mayor a 180 días</v>
      </c>
      <c r="Z136" s="473">
        <v>0</v>
      </c>
      <c r="AA136" s="479">
        <v>1</v>
      </c>
      <c r="AB136" s="479">
        <v>0</v>
      </c>
      <c r="AC136" s="478">
        <f t="shared" si="41"/>
        <v>0.5</v>
      </c>
      <c r="AD136" s="478" t="e">
        <f t="shared" si="42"/>
        <v>#DIV/0!</v>
      </c>
      <c r="AE136" s="478">
        <f t="shared" si="43"/>
        <v>0.5</v>
      </c>
      <c r="AF136" s="478" t="e">
        <f t="shared" si="44"/>
        <v>#DIV/0!</v>
      </c>
      <c r="AG136" s="483"/>
      <c r="AH136" s="501">
        <v>0</v>
      </c>
      <c r="AI136" s="484" t="str">
        <f>+U136</f>
        <v>Informe de identificación de  reclamaciones contenidas en actos administrativos debidamente ejecutoriados y con mora mayor a 180 días</v>
      </c>
      <c r="AJ136" s="473">
        <v>0</v>
      </c>
      <c r="AK136" s="658">
        <v>0</v>
      </c>
      <c r="AL136" s="616">
        <v>0</v>
      </c>
      <c r="AM136" s="478" t="e">
        <f t="shared" si="45"/>
        <v>#DIV/0!</v>
      </c>
      <c r="AN136" s="478" t="e">
        <f t="shared" si="46"/>
        <v>#DIV/0!</v>
      </c>
      <c r="AO136" s="478">
        <f t="shared" si="47"/>
        <v>0.5</v>
      </c>
      <c r="AP136" s="478" t="e">
        <f t="shared" si="48"/>
        <v>#DIV/0!</v>
      </c>
      <c r="AQ136" s="478"/>
      <c r="AR136" s="501">
        <v>0</v>
      </c>
      <c r="AS136" s="484" t="str">
        <f>+U136</f>
        <v>Informe de identificación de  reclamaciones contenidas en actos administrativos debidamente ejecutoriados y con mora mayor a 180 días</v>
      </c>
      <c r="AT136" s="473">
        <v>0</v>
      </c>
      <c r="AU136" s="479"/>
      <c r="AV136" s="479"/>
      <c r="AW136" s="478" t="e">
        <f t="shared" si="49"/>
        <v>#DIV/0!</v>
      </c>
      <c r="AX136" s="478" t="e">
        <f t="shared" si="50"/>
        <v>#DIV/0!</v>
      </c>
      <c r="AY136" s="478">
        <f t="shared" si="51"/>
        <v>0.5</v>
      </c>
      <c r="AZ136" s="478" t="e">
        <f t="shared" si="52"/>
        <v>#DIV/0!</v>
      </c>
      <c r="BA136" s="478"/>
      <c r="BB136" s="501">
        <v>0</v>
      </c>
      <c r="BC136" s="484" t="str">
        <f>+U136</f>
        <v>Informe de identificación de  reclamaciones contenidas en actos administrativos debidamente ejecutoriados y con mora mayor a 180 días</v>
      </c>
      <c r="BD136" s="473">
        <v>0</v>
      </c>
      <c r="BE136" s="479"/>
      <c r="BF136" s="479"/>
      <c r="BG136" s="472" t="e">
        <f t="shared" si="64"/>
        <v>#DIV/0!</v>
      </c>
      <c r="BH136" s="472" t="e">
        <f t="shared" si="65"/>
        <v>#DIV/0!</v>
      </c>
      <c r="BI136" s="472">
        <f t="shared" si="66"/>
        <v>0.5</v>
      </c>
      <c r="BJ136" s="472" t="e">
        <f t="shared" si="67"/>
        <v>#DIV/0!</v>
      </c>
      <c r="BK136" s="472"/>
      <c r="BL136" s="533">
        <f t="shared" si="53"/>
        <v>0.5</v>
      </c>
      <c r="BM136" s="533" t="str">
        <f t="shared" si="54"/>
        <v>No Prog ni Ejec</v>
      </c>
      <c r="BN136" s="533" t="str">
        <f t="shared" si="55"/>
        <v>No Prog ni Ejec</v>
      </c>
      <c r="BO136" s="533" t="str">
        <f t="shared" si="56"/>
        <v>No Prog ni Ejec</v>
      </c>
      <c r="BP136" s="533" t="str">
        <f t="shared" si="57"/>
        <v>No Prog ni Ejec</v>
      </c>
      <c r="BQ136" s="533" t="str">
        <f t="shared" si="58"/>
        <v>No Prog ni Ejec</v>
      </c>
      <c r="BR136" s="533" t="str">
        <f t="shared" si="59"/>
        <v>No Prog ni Ejec</v>
      </c>
      <c r="BS136" s="533" t="str">
        <f t="shared" si="60"/>
        <v>No Prog ni Ejec</v>
      </c>
      <c r="BT136" s="507">
        <f t="shared" si="61"/>
        <v>2</v>
      </c>
      <c r="BU136" s="481" t="str">
        <f t="shared" si="87"/>
        <v>Informe de identificación de  reclamaciones contenidas en actos administrativos debidamente ejecutoriados y con mora mayor a 180 días</v>
      </c>
      <c r="BV136" s="482">
        <f t="shared" si="40"/>
        <v>0</v>
      </c>
      <c r="BW136" s="479"/>
      <c r="BX136" s="479"/>
      <c r="BY136" s="479"/>
      <c r="BZ136" s="479"/>
      <c r="CA136" s="479"/>
      <c r="CB136" s="479"/>
      <c r="CC136" s="479"/>
    </row>
    <row r="137" spans="1:81" s="428" customFormat="1" ht="318.75" x14ac:dyDescent="0.25">
      <c r="A137" s="468">
        <v>11900</v>
      </c>
      <c r="B137" s="469" t="s">
        <v>349</v>
      </c>
      <c r="C137" s="470" t="s">
        <v>357</v>
      </c>
      <c r="D137" s="469" t="s">
        <v>146</v>
      </c>
      <c r="E137" s="971" t="s">
        <v>450</v>
      </c>
      <c r="F137" s="969" t="s">
        <v>449</v>
      </c>
      <c r="G137" s="971" t="s">
        <v>123</v>
      </c>
      <c r="H137" s="472">
        <v>1</v>
      </c>
      <c r="I137" s="971" t="s">
        <v>550</v>
      </c>
      <c r="J137" s="969" t="s">
        <v>451</v>
      </c>
      <c r="K137" s="978">
        <v>0</v>
      </c>
      <c r="L137" s="474">
        <v>1</v>
      </c>
      <c r="M137" s="969" t="s">
        <v>46</v>
      </c>
      <c r="N137" s="969" t="s">
        <v>74</v>
      </c>
      <c r="O137" s="969" t="s">
        <v>21</v>
      </c>
      <c r="P137" s="969" t="s">
        <v>36</v>
      </c>
      <c r="Q137" s="969" t="s">
        <v>229</v>
      </c>
      <c r="R137" s="469" t="s">
        <v>453</v>
      </c>
      <c r="S137" s="469" t="s">
        <v>99</v>
      </c>
      <c r="T137" s="474">
        <v>1</v>
      </c>
      <c r="U137" s="475" t="str">
        <f t="shared" si="62"/>
        <v>Venta de Cartera mayor a &gt;180 días con actos administrativos debidamente ejecutoriados a Central de Inversiones SA -CISA-</v>
      </c>
      <c r="V137" s="476">
        <f t="shared" si="63"/>
        <v>0</v>
      </c>
      <c r="W137" s="477" t="s">
        <v>117</v>
      </c>
      <c r="X137" s="472">
        <v>0.5</v>
      </c>
      <c r="Y137" s="484" t="str">
        <f>+U137</f>
        <v>Venta de Cartera mayor a &gt;180 días con actos administrativos debidamente ejecutoriados a Central de Inversiones SA -CISA-</v>
      </c>
      <c r="Z137" s="473">
        <v>0</v>
      </c>
      <c r="AA137" s="479">
        <v>0</v>
      </c>
      <c r="AB137" s="479">
        <v>0</v>
      </c>
      <c r="AC137" s="478">
        <f t="shared" si="41"/>
        <v>0</v>
      </c>
      <c r="AD137" s="478" t="e">
        <f>+(AB137/Z137)</f>
        <v>#DIV/0!</v>
      </c>
      <c r="AE137" s="478">
        <f t="shared" si="43"/>
        <v>0</v>
      </c>
      <c r="AF137" s="478" t="e">
        <f t="shared" si="44"/>
        <v>#DIV/0!</v>
      </c>
      <c r="AG137" s="483"/>
      <c r="AH137" s="472">
        <v>0.5</v>
      </c>
      <c r="AI137" s="484" t="str">
        <f>+U137</f>
        <v>Venta de Cartera mayor a &gt;180 días con actos administrativos debidamente ejecutoriados a Central de Inversiones SA -CISA-</v>
      </c>
      <c r="AJ137" s="473">
        <v>0</v>
      </c>
      <c r="AK137" s="612">
        <f>(1086/1135)*AH137</f>
        <v>0.47841409691629955</v>
      </c>
      <c r="AL137" s="616">
        <v>0</v>
      </c>
      <c r="AM137" s="478">
        <f t="shared" si="45"/>
        <v>0.95682819383259909</v>
      </c>
      <c r="AN137" s="478" t="e">
        <f t="shared" si="46"/>
        <v>#DIV/0!</v>
      </c>
      <c r="AO137" s="478">
        <f t="shared" si="47"/>
        <v>0.47841409691629955</v>
      </c>
      <c r="AP137" s="478" t="e">
        <f t="shared" si="48"/>
        <v>#DIV/0!</v>
      </c>
      <c r="AQ137" s="847" t="s">
        <v>1173</v>
      </c>
      <c r="AR137" s="472">
        <v>0</v>
      </c>
      <c r="AS137" s="484" t="str">
        <f>+U137</f>
        <v>Venta de Cartera mayor a &gt;180 días con actos administrativos debidamente ejecutoriados a Central de Inversiones SA -CISA-</v>
      </c>
      <c r="AT137" s="473">
        <v>0</v>
      </c>
      <c r="AU137" s="479"/>
      <c r="AV137" s="479"/>
      <c r="AW137" s="478" t="e">
        <f t="shared" si="49"/>
        <v>#DIV/0!</v>
      </c>
      <c r="AX137" s="478" t="e">
        <f t="shared" si="50"/>
        <v>#DIV/0!</v>
      </c>
      <c r="AY137" s="478">
        <f t="shared" si="51"/>
        <v>0.47841409691629955</v>
      </c>
      <c r="AZ137" s="478" t="e">
        <f t="shared" si="52"/>
        <v>#DIV/0!</v>
      </c>
      <c r="BA137" s="478"/>
      <c r="BB137" s="472">
        <v>0</v>
      </c>
      <c r="BC137" s="484" t="str">
        <f>+U137</f>
        <v>Venta de Cartera mayor a &gt;180 días con actos administrativos debidamente ejecutoriados a Central de Inversiones SA -CISA-</v>
      </c>
      <c r="BD137" s="473">
        <v>0</v>
      </c>
      <c r="BE137" s="479"/>
      <c r="BF137" s="479"/>
      <c r="BG137" s="472" t="e">
        <f t="shared" si="64"/>
        <v>#DIV/0!</v>
      </c>
      <c r="BH137" s="472" t="e">
        <f t="shared" si="65"/>
        <v>#DIV/0!</v>
      </c>
      <c r="BI137" s="472">
        <f t="shared" si="66"/>
        <v>0.47841409691629955</v>
      </c>
      <c r="BJ137" s="472" t="e">
        <f t="shared" si="67"/>
        <v>#DIV/0!</v>
      </c>
      <c r="BK137" s="472"/>
      <c r="BL137" s="533">
        <f t="shared" si="53"/>
        <v>0</v>
      </c>
      <c r="BM137" s="533" t="str">
        <f t="shared" si="54"/>
        <v>No Prog ni Ejec</v>
      </c>
      <c r="BN137" s="533">
        <f t="shared" si="55"/>
        <v>0.95682819383259909</v>
      </c>
      <c r="BO137" s="533" t="str">
        <f t="shared" si="56"/>
        <v>No Prog ni Ejec</v>
      </c>
      <c r="BP137" s="533" t="str">
        <f t="shared" si="57"/>
        <v>No Prog ni Ejec</v>
      </c>
      <c r="BQ137" s="533" t="str">
        <f t="shared" si="58"/>
        <v>No Prog ni Ejec</v>
      </c>
      <c r="BR137" s="533" t="str">
        <f t="shared" si="59"/>
        <v>No Prog ni Ejec</v>
      </c>
      <c r="BS137" s="533" t="str">
        <f t="shared" si="60"/>
        <v>No Prog ni Ejec</v>
      </c>
      <c r="BT137" s="480">
        <f t="shared" si="61"/>
        <v>1</v>
      </c>
      <c r="BU137" s="481" t="str">
        <f t="shared" si="87"/>
        <v>Venta de Cartera mayor a &gt;180 días con actos administrativos debidamente ejecutoriados a Central de Inversiones SA -CISA-</v>
      </c>
      <c r="BV137" s="482">
        <f t="shared" si="40"/>
        <v>0</v>
      </c>
      <c r="BW137" s="479"/>
      <c r="BX137" s="479"/>
      <c r="BY137" s="479"/>
      <c r="BZ137" s="479"/>
      <c r="CA137" s="479"/>
      <c r="CB137" s="479"/>
      <c r="CC137" s="479"/>
    </row>
    <row r="138" spans="1:81" s="428" customFormat="1" ht="318.75" x14ac:dyDescent="0.25">
      <c r="A138" s="468">
        <v>11900</v>
      </c>
      <c r="B138" s="469" t="s">
        <v>349</v>
      </c>
      <c r="C138" s="470" t="s">
        <v>357</v>
      </c>
      <c r="D138" s="469" t="s">
        <v>146</v>
      </c>
      <c r="E138" s="972"/>
      <c r="F138" s="970"/>
      <c r="G138" s="972"/>
      <c r="H138" s="472">
        <v>0.02</v>
      </c>
      <c r="I138" s="972"/>
      <c r="J138" s="970"/>
      <c r="K138" s="979"/>
      <c r="L138" s="474">
        <v>0.04</v>
      </c>
      <c r="M138" s="970"/>
      <c r="N138" s="970"/>
      <c r="O138" s="970"/>
      <c r="P138" s="970"/>
      <c r="Q138" s="970"/>
      <c r="R138" s="469" t="s">
        <v>833</v>
      </c>
      <c r="S138" s="469" t="s">
        <v>99</v>
      </c>
      <c r="T138" s="474">
        <v>0.04</v>
      </c>
      <c r="U138" s="475" t="str">
        <f>+J137</f>
        <v>Venta de Cartera mayor a &gt;180 días con actos administrativos debidamente ejecutoriados a Central de Inversiones SA -CISA-</v>
      </c>
      <c r="V138" s="476">
        <f t="shared" ref="V138" si="102">+K138</f>
        <v>0</v>
      </c>
      <c r="W138" s="477" t="s">
        <v>117</v>
      </c>
      <c r="X138" s="472">
        <v>0.02</v>
      </c>
      <c r="Y138" s="484" t="str">
        <f>+U138</f>
        <v>Venta de Cartera mayor a &gt;180 días con actos administrativos debidamente ejecutoriados a Central de Inversiones SA -CISA-</v>
      </c>
      <c r="Z138" s="473">
        <v>0</v>
      </c>
      <c r="AA138" s="480">
        <v>0</v>
      </c>
      <c r="AB138" s="479">
        <v>0</v>
      </c>
      <c r="AC138" s="478">
        <f t="shared" si="41"/>
        <v>0</v>
      </c>
      <c r="AD138" s="478" t="e">
        <f>+(AB138/Z138)</f>
        <v>#DIV/0!</v>
      </c>
      <c r="AE138" s="478">
        <f t="shared" ref="AE138" si="103">+(AA138/T138)</f>
        <v>0</v>
      </c>
      <c r="AF138" s="478" t="e">
        <f t="shared" ref="AF138" si="104">+(AB138/V138)</f>
        <v>#DIV/0!</v>
      </c>
      <c r="AG138" s="573" t="s">
        <v>893</v>
      </c>
      <c r="AH138" s="472">
        <v>0.02</v>
      </c>
      <c r="AI138" s="484" t="str">
        <f>+U138</f>
        <v>Venta de Cartera mayor a &gt;180 días con actos administrativos debidamente ejecutoriados a Central de Inversiones SA -CISA-</v>
      </c>
      <c r="AJ138" s="473">
        <v>0</v>
      </c>
      <c r="AK138" s="691">
        <f>61834473/4725851782</f>
        <v>1.3084302227911048E-2</v>
      </c>
      <c r="AL138" s="616">
        <v>0</v>
      </c>
      <c r="AM138" s="478">
        <f>+(AK138/AH138)</f>
        <v>0.65421511139555244</v>
      </c>
      <c r="AN138" s="478" t="e">
        <f t="shared" ref="AN138" si="105">+(AL138/AJ138)</f>
        <v>#DIV/0!</v>
      </c>
      <c r="AO138" s="478">
        <f>+(AK138+AA138)/T138</f>
        <v>0.32710755569777622</v>
      </c>
      <c r="AP138" s="478" t="e">
        <f t="shared" ref="AP138" si="106">+(AL138+AB138)/V138</f>
        <v>#DIV/0!</v>
      </c>
      <c r="AQ138" s="847" t="s">
        <v>1174</v>
      </c>
      <c r="AR138" s="472">
        <v>0</v>
      </c>
      <c r="AS138" s="484" t="str">
        <f>+U138</f>
        <v>Venta de Cartera mayor a &gt;180 días con actos administrativos debidamente ejecutoriados a Central de Inversiones SA -CISA-</v>
      </c>
      <c r="AT138" s="473">
        <v>0</v>
      </c>
      <c r="AU138" s="479"/>
      <c r="AV138" s="479"/>
      <c r="AW138" s="478" t="e">
        <f t="shared" si="49"/>
        <v>#DIV/0!</v>
      </c>
      <c r="AX138" s="478" t="e">
        <f>+(AV138/AT138)</f>
        <v>#DIV/0!</v>
      </c>
      <c r="AY138" s="478">
        <f t="shared" ref="AY138" si="107">+(AK138+AA138+AU138)/T138</f>
        <v>0.32710755569777622</v>
      </c>
      <c r="AZ138" s="478" t="e">
        <f t="shared" ref="AZ138" si="108">+(AL138+AB138+AV138)/V138</f>
        <v>#DIV/0!</v>
      </c>
      <c r="BA138" s="478"/>
      <c r="BB138" s="472">
        <v>0</v>
      </c>
      <c r="BC138" s="484" t="str">
        <f>+U138</f>
        <v>Venta de Cartera mayor a &gt;180 días con actos administrativos debidamente ejecutoriados a Central de Inversiones SA -CISA-</v>
      </c>
      <c r="BD138" s="473">
        <v>0</v>
      </c>
      <c r="BE138" s="479"/>
      <c r="BF138" s="479"/>
      <c r="BG138" s="472" t="e">
        <f t="shared" ref="BG138" si="109">+(BE138/BB138)</f>
        <v>#DIV/0!</v>
      </c>
      <c r="BH138" s="472" t="e">
        <f t="shared" ref="BH138" si="110">+(BF138/BD138)</f>
        <v>#DIV/0!</v>
      </c>
      <c r="BI138" s="472">
        <f t="shared" ref="BI138" si="111">+(AK138+AA138+AU138+BE138)/T138</f>
        <v>0.32710755569777622</v>
      </c>
      <c r="BJ138" s="472" t="e">
        <f t="shared" ref="BJ138" si="112">+(AL138+AB138+AV138+BF138)/V138</f>
        <v>#DIV/0!</v>
      </c>
      <c r="BK138" s="472"/>
      <c r="BL138" s="533">
        <f>IF(AND(X138=0,AA138=0),"No Prog ni Ejec",IF(X138=0,CONCATENATE("No Prog, Ejec=  ",AA138),AA138/X138))</f>
        <v>0</v>
      </c>
      <c r="BM138" s="533" t="str">
        <f>IF(AND(Z138=0,AB138=0),"No Prog ni Ejec",IF(Z138=0,CONCATENATE("No Prog, Ejec=  ",AB138),AB138/Z138))</f>
        <v>No Prog ni Ejec</v>
      </c>
      <c r="BN138" s="533">
        <f t="shared" si="55"/>
        <v>0.65421511139555244</v>
      </c>
      <c r="BO138" s="533" t="str">
        <f t="shared" si="56"/>
        <v>No Prog ni Ejec</v>
      </c>
      <c r="BP138" s="533" t="str">
        <f t="shared" si="57"/>
        <v>No Prog ni Ejec</v>
      </c>
      <c r="BQ138" s="533" t="str">
        <f>IF(AND(AT138=0,AV138=0),"No Prog ni Ejec",IF(AT138=0,CONCATENATE("No Prog, Ejec=  ",AV138),AV138/AT138))</f>
        <v>No Prog ni Ejec</v>
      </c>
      <c r="BR138" s="533" t="str">
        <f t="shared" ref="BR138" si="113">IF(AND(BB138=0,BE138=0),"No Prog ni Ejec",IF(BB138=0,CONCATENATE("No Prog, Ejec=  ",BE138),BE138/BB138))</f>
        <v>No Prog ni Ejec</v>
      </c>
      <c r="BS138" s="533" t="str">
        <f>IF(AND(BD138=0,BF138=0),"No Prog ni Ejec",IF(BD138=0,CONCATENATE("No Prog, Ejec=  ",BF138),BF138/BD138))</f>
        <v>No Prog ni Ejec</v>
      </c>
      <c r="BT138" s="480">
        <f t="shared" si="61"/>
        <v>0.04</v>
      </c>
      <c r="BU138" s="481" t="str">
        <f t="shared" si="87"/>
        <v>Venta de Cartera mayor a &gt;180 días con actos administrativos debidamente ejecutoriados a Central de Inversiones SA -CISA-</v>
      </c>
      <c r="BV138" s="482">
        <f t="shared" si="40"/>
        <v>0</v>
      </c>
      <c r="BW138" s="479"/>
      <c r="BX138" s="479"/>
      <c r="BY138" s="479"/>
      <c r="BZ138" s="479"/>
      <c r="CA138" s="479"/>
      <c r="CB138" s="479"/>
      <c r="CC138" s="479"/>
    </row>
    <row r="139" spans="1:81" s="428" customFormat="1" ht="408" x14ac:dyDescent="0.25">
      <c r="A139" s="468">
        <v>11900</v>
      </c>
      <c r="B139" s="469" t="s">
        <v>349</v>
      </c>
      <c r="C139" s="470" t="s">
        <v>357</v>
      </c>
      <c r="D139" s="469" t="s">
        <v>146</v>
      </c>
      <c r="E139" s="470" t="s">
        <v>450</v>
      </c>
      <c r="F139" s="469" t="s">
        <v>449</v>
      </c>
      <c r="G139" s="471" t="s">
        <v>123</v>
      </c>
      <c r="H139" s="472">
        <v>1</v>
      </c>
      <c r="I139" s="470" t="s">
        <v>464</v>
      </c>
      <c r="J139" s="469" t="s">
        <v>996</v>
      </c>
      <c r="K139" s="473">
        <v>55760808</v>
      </c>
      <c r="L139" s="474">
        <v>1</v>
      </c>
      <c r="M139" s="469" t="s">
        <v>46</v>
      </c>
      <c r="N139" s="469" t="s">
        <v>74</v>
      </c>
      <c r="O139" s="469" t="s">
        <v>21</v>
      </c>
      <c r="P139" s="469" t="s">
        <v>36</v>
      </c>
      <c r="Q139" s="469" t="s">
        <v>229</v>
      </c>
      <c r="R139" s="469" t="s">
        <v>834</v>
      </c>
      <c r="S139" s="469" t="s">
        <v>99</v>
      </c>
      <c r="T139" s="474">
        <v>1</v>
      </c>
      <c r="U139" s="475" t="str">
        <f t="shared" si="62"/>
        <v>Actos administrativos mediante los cuales se establecen los fallecidos, incobrables, cancelados y revocados, resultado del proceso de depuración</v>
      </c>
      <c r="V139" s="476">
        <f t="shared" si="63"/>
        <v>55760808</v>
      </c>
      <c r="W139" s="477" t="s">
        <v>114</v>
      </c>
      <c r="X139" s="472">
        <v>0.25</v>
      </c>
      <c r="Y139" s="484" t="str">
        <f>+U139</f>
        <v>Actos administrativos mediante los cuales se establecen los fallecidos, incobrables, cancelados y revocados, resultado del proceso de depuración</v>
      </c>
      <c r="Z139" s="473">
        <v>13940202</v>
      </c>
      <c r="AA139" s="480">
        <v>0</v>
      </c>
      <c r="AB139" s="574">
        <v>11771726</v>
      </c>
      <c r="AC139" s="478">
        <f t="shared" si="41"/>
        <v>0</v>
      </c>
      <c r="AD139" s="478">
        <f t="shared" si="42"/>
        <v>0.84444443487978149</v>
      </c>
      <c r="AE139" s="478">
        <f t="shared" si="43"/>
        <v>0</v>
      </c>
      <c r="AF139" s="478">
        <f t="shared" si="44"/>
        <v>0.21111110871994537</v>
      </c>
      <c r="AG139" s="573" t="s">
        <v>894</v>
      </c>
      <c r="AH139" s="472">
        <v>0.25</v>
      </c>
      <c r="AI139" s="484" t="str">
        <f>+U139</f>
        <v>Actos administrativos mediante los cuales se establecen los fallecidos, incobrables, cancelados y revocados, resultado del proceso de depuración</v>
      </c>
      <c r="AJ139" s="473">
        <v>13940202</v>
      </c>
      <c r="AK139" s="612">
        <f>(8185/8185)*AH139</f>
        <v>0.25</v>
      </c>
      <c r="AL139" s="616">
        <v>13940202</v>
      </c>
      <c r="AM139" s="478">
        <f t="shared" si="45"/>
        <v>1</v>
      </c>
      <c r="AN139" s="478">
        <f t="shared" si="46"/>
        <v>1</v>
      </c>
      <c r="AO139" s="478">
        <f t="shared" si="47"/>
        <v>0.25</v>
      </c>
      <c r="AP139" s="478">
        <f t="shared" si="48"/>
        <v>0.46111110871994537</v>
      </c>
      <c r="AQ139" s="847" t="s">
        <v>1146</v>
      </c>
      <c r="AR139" s="472">
        <v>0.25</v>
      </c>
      <c r="AS139" s="484" t="str">
        <f>+U139</f>
        <v>Actos administrativos mediante los cuales se establecen los fallecidos, incobrables, cancelados y revocados, resultado del proceso de depuración</v>
      </c>
      <c r="AT139" s="473">
        <v>13940202</v>
      </c>
      <c r="AU139" s="479"/>
      <c r="AV139" s="479"/>
      <c r="AW139" s="478">
        <f t="shared" si="49"/>
        <v>0</v>
      </c>
      <c r="AX139" s="478">
        <f t="shared" si="50"/>
        <v>0</v>
      </c>
      <c r="AY139" s="478">
        <f t="shared" si="51"/>
        <v>0.25</v>
      </c>
      <c r="AZ139" s="478">
        <f t="shared" si="52"/>
        <v>0.46111110871994537</v>
      </c>
      <c r="BA139" s="478"/>
      <c r="BB139" s="472">
        <v>0.25</v>
      </c>
      <c r="BC139" s="484" t="str">
        <f>+U139</f>
        <v>Actos administrativos mediante los cuales se establecen los fallecidos, incobrables, cancelados y revocados, resultado del proceso de depuración</v>
      </c>
      <c r="BD139" s="473">
        <v>13940202</v>
      </c>
      <c r="BE139" s="479"/>
      <c r="BF139" s="479"/>
      <c r="BG139" s="472">
        <f t="shared" si="64"/>
        <v>0</v>
      </c>
      <c r="BH139" s="472">
        <f t="shared" si="65"/>
        <v>0</v>
      </c>
      <c r="BI139" s="472">
        <f t="shared" si="66"/>
        <v>0.25</v>
      </c>
      <c r="BJ139" s="472">
        <f t="shared" si="67"/>
        <v>0.46111110871994537</v>
      </c>
      <c r="BK139" s="472"/>
      <c r="BL139" s="533">
        <f t="shared" si="53"/>
        <v>0</v>
      </c>
      <c r="BM139" s="533">
        <f t="shared" si="54"/>
        <v>0.84444443487978149</v>
      </c>
      <c r="BN139" s="533">
        <f t="shared" si="55"/>
        <v>1</v>
      </c>
      <c r="BO139" s="533">
        <f t="shared" si="56"/>
        <v>1</v>
      </c>
      <c r="BP139" s="533">
        <f t="shared" si="57"/>
        <v>0</v>
      </c>
      <c r="BQ139" s="533">
        <f t="shared" si="58"/>
        <v>0</v>
      </c>
      <c r="BR139" s="533">
        <f t="shared" si="59"/>
        <v>0</v>
      </c>
      <c r="BS139" s="533">
        <f t="shared" si="60"/>
        <v>0</v>
      </c>
      <c r="BT139" s="480">
        <f t="shared" si="61"/>
        <v>0.58333333333333337</v>
      </c>
      <c r="BU139" s="481" t="str">
        <f t="shared" si="87"/>
        <v>Actos administrativos mediante los cuales se establecen los fallecidos, incobrables, cancelados y revocados, resultado del proceso de depuración</v>
      </c>
      <c r="BV139" s="482">
        <f t="shared" ref="BV139:BV155" si="114">+(Z139+AJ139+(AT139/3))</f>
        <v>32527138</v>
      </c>
      <c r="BW139" s="479"/>
      <c r="BX139" s="479"/>
      <c r="BY139" s="479"/>
      <c r="BZ139" s="479"/>
      <c r="CA139" s="479"/>
      <c r="CB139" s="479"/>
      <c r="CC139" s="479"/>
    </row>
    <row r="140" spans="1:81" s="428" customFormat="1" ht="57" customHeight="1" x14ac:dyDescent="0.25">
      <c r="A140" s="468">
        <v>12000</v>
      </c>
      <c r="B140" s="469" t="s">
        <v>30</v>
      </c>
      <c r="C140" s="470" t="s">
        <v>131</v>
      </c>
      <c r="D140" s="469" t="s">
        <v>153</v>
      </c>
      <c r="E140" s="470" t="s">
        <v>132</v>
      </c>
      <c r="F140" s="469" t="s">
        <v>133</v>
      </c>
      <c r="G140" s="471" t="s">
        <v>124</v>
      </c>
      <c r="H140" s="470">
        <v>4</v>
      </c>
      <c r="I140" s="470" t="s">
        <v>143</v>
      </c>
      <c r="J140" s="469" t="s">
        <v>24</v>
      </c>
      <c r="K140" s="473">
        <v>0</v>
      </c>
      <c r="L140" s="474">
        <v>1</v>
      </c>
      <c r="M140" s="469" t="s">
        <v>51</v>
      </c>
      <c r="N140" s="469" t="s">
        <v>68</v>
      </c>
      <c r="O140" s="469" t="s">
        <v>21</v>
      </c>
      <c r="P140" s="469" t="s">
        <v>36</v>
      </c>
      <c r="Q140" s="469" t="s">
        <v>75</v>
      </c>
      <c r="R140" s="469" t="s">
        <v>631</v>
      </c>
      <c r="S140" s="469" t="s">
        <v>98</v>
      </c>
      <c r="T140" s="509">
        <v>4</v>
      </c>
      <c r="U140" s="475" t="str">
        <f t="shared" si="62"/>
        <v>Reportar el cumplimiento del Plan de Acción de la Dependencia</v>
      </c>
      <c r="V140" s="476">
        <f t="shared" si="63"/>
        <v>0</v>
      </c>
      <c r="W140" s="477" t="s">
        <v>117</v>
      </c>
      <c r="X140" s="501">
        <v>1</v>
      </c>
      <c r="Y140" s="484" t="str">
        <f>+U140</f>
        <v>Reportar el cumplimiento del Plan de Acción de la Dependencia</v>
      </c>
      <c r="Z140" s="473">
        <v>0</v>
      </c>
      <c r="AA140" s="575">
        <v>1</v>
      </c>
      <c r="AB140" s="473">
        <v>0</v>
      </c>
      <c r="AC140" s="478">
        <f t="shared" si="41"/>
        <v>1</v>
      </c>
      <c r="AD140" s="478" t="e">
        <f t="shared" si="42"/>
        <v>#DIV/0!</v>
      </c>
      <c r="AE140" s="478">
        <f t="shared" si="43"/>
        <v>0.25</v>
      </c>
      <c r="AF140" s="478" t="e">
        <f t="shared" si="44"/>
        <v>#DIV/0!</v>
      </c>
      <c r="AG140" s="483" t="s">
        <v>882</v>
      </c>
      <c r="AH140" s="501">
        <v>1</v>
      </c>
      <c r="AI140" s="484" t="str">
        <f>+U140</f>
        <v>Reportar el cumplimiento del Plan de Acción de la Dependencia</v>
      </c>
      <c r="AJ140" s="473">
        <v>0</v>
      </c>
      <c r="AK140" s="651">
        <v>1</v>
      </c>
      <c r="AL140" s="652">
        <v>0</v>
      </c>
      <c r="AM140" s="478">
        <f t="shared" si="45"/>
        <v>1</v>
      </c>
      <c r="AN140" s="478" t="e">
        <f t="shared" si="46"/>
        <v>#DIV/0!</v>
      </c>
      <c r="AO140" s="478">
        <f t="shared" si="47"/>
        <v>0.5</v>
      </c>
      <c r="AP140" s="478" t="e">
        <f t="shared" si="48"/>
        <v>#DIV/0!</v>
      </c>
      <c r="AQ140" s="630" t="s">
        <v>1049</v>
      </c>
      <c r="AR140" s="501">
        <v>1</v>
      </c>
      <c r="AS140" s="484" t="str">
        <f>+U140</f>
        <v>Reportar el cumplimiento del Plan de Acción de la Dependencia</v>
      </c>
      <c r="AT140" s="473">
        <v>0</v>
      </c>
      <c r="AU140" s="479"/>
      <c r="AV140" s="479"/>
      <c r="AW140" s="478">
        <f t="shared" si="49"/>
        <v>0</v>
      </c>
      <c r="AX140" s="478" t="e">
        <f t="shared" si="50"/>
        <v>#DIV/0!</v>
      </c>
      <c r="AY140" s="478">
        <f t="shared" si="51"/>
        <v>0.5</v>
      </c>
      <c r="AZ140" s="478" t="e">
        <f t="shared" si="52"/>
        <v>#DIV/0!</v>
      </c>
      <c r="BA140" s="478"/>
      <c r="BB140" s="501">
        <v>1</v>
      </c>
      <c r="BC140" s="484" t="str">
        <f>+U140</f>
        <v>Reportar el cumplimiento del Plan de Acción de la Dependencia</v>
      </c>
      <c r="BD140" s="473">
        <v>0</v>
      </c>
      <c r="BE140" s="479"/>
      <c r="BF140" s="479"/>
      <c r="BG140" s="472">
        <f t="shared" si="64"/>
        <v>0</v>
      </c>
      <c r="BH140" s="472" t="e">
        <f t="shared" si="65"/>
        <v>#DIV/0!</v>
      </c>
      <c r="BI140" s="472">
        <f t="shared" si="66"/>
        <v>0.5</v>
      </c>
      <c r="BJ140" s="472" t="e">
        <f t="shared" si="67"/>
        <v>#DIV/0!</v>
      </c>
      <c r="BK140" s="472"/>
      <c r="BL140" s="533">
        <f t="shared" si="53"/>
        <v>1</v>
      </c>
      <c r="BM140" s="533" t="str">
        <f t="shared" si="54"/>
        <v>No Prog ni Ejec</v>
      </c>
      <c r="BN140" s="533">
        <f t="shared" si="55"/>
        <v>1</v>
      </c>
      <c r="BO140" s="533" t="str">
        <f t="shared" si="56"/>
        <v>No Prog ni Ejec</v>
      </c>
      <c r="BP140" s="533">
        <f t="shared" si="57"/>
        <v>0</v>
      </c>
      <c r="BQ140" s="533" t="str">
        <f t="shared" si="58"/>
        <v>No Prog ni Ejec</v>
      </c>
      <c r="BR140" s="533">
        <f t="shared" si="59"/>
        <v>0</v>
      </c>
      <c r="BS140" s="533" t="str">
        <f t="shared" si="60"/>
        <v>No Prog ni Ejec</v>
      </c>
      <c r="BT140" s="507">
        <f t="shared" si="61"/>
        <v>2.3333333333333335</v>
      </c>
      <c r="BU140" s="481" t="str">
        <f t="shared" si="87"/>
        <v>Reportar el cumplimiento del Plan de Acción de la Dependencia</v>
      </c>
      <c r="BV140" s="482">
        <f t="shared" si="114"/>
        <v>0</v>
      </c>
      <c r="BW140" s="479"/>
      <c r="BX140" s="479"/>
      <c r="BY140" s="479"/>
      <c r="BZ140" s="479"/>
      <c r="CA140" s="479"/>
      <c r="CB140" s="479"/>
      <c r="CC140" s="479"/>
    </row>
    <row r="141" spans="1:81" s="428" customFormat="1" ht="99.75" customHeight="1" x14ac:dyDescent="0.25">
      <c r="A141" s="468">
        <v>12000</v>
      </c>
      <c r="B141" s="469" t="s">
        <v>30</v>
      </c>
      <c r="C141" s="470" t="s">
        <v>355</v>
      </c>
      <c r="D141" s="469" t="s">
        <v>256</v>
      </c>
      <c r="E141" s="470" t="s">
        <v>356</v>
      </c>
      <c r="F141" s="469" t="s">
        <v>134</v>
      </c>
      <c r="G141" s="471" t="s">
        <v>124</v>
      </c>
      <c r="H141" s="470">
        <v>4</v>
      </c>
      <c r="I141" s="470" t="s">
        <v>539</v>
      </c>
      <c r="J141" s="469" t="s">
        <v>683</v>
      </c>
      <c r="K141" s="473">
        <v>0</v>
      </c>
      <c r="L141" s="474">
        <v>1</v>
      </c>
      <c r="M141" s="469" t="s">
        <v>51</v>
      </c>
      <c r="N141" s="469" t="s">
        <v>68</v>
      </c>
      <c r="O141" s="469" t="s">
        <v>21</v>
      </c>
      <c r="P141" s="469" t="s">
        <v>36</v>
      </c>
      <c r="Q141" s="469" t="s">
        <v>75</v>
      </c>
      <c r="R141" s="469" t="s">
        <v>628</v>
      </c>
      <c r="S141" s="469" t="s">
        <v>98</v>
      </c>
      <c r="T141" s="509">
        <v>4</v>
      </c>
      <c r="U141" s="475" t="str">
        <f t="shared" si="62"/>
        <v xml:space="preserve">Reportar el cumplimiento de la ejecución del Plan de Acción </v>
      </c>
      <c r="V141" s="476">
        <f t="shared" si="63"/>
        <v>0</v>
      </c>
      <c r="W141" s="477" t="s">
        <v>117</v>
      </c>
      <c r="X141" s="501">
        <v>1</v>
      </c>
      <c r="Y141" s="484" t="str">
        <f>+U141</f>
        <v xml:space="preserve">Reportar el cumplimiento de la ejecución del Plan de Acción </v>
      </c>
      <c r="Z141" s="473">
        <v>0</v>
      </c>
      <c r="AA141" s="575">
        <v>1</v>
      </c>
      <c r="AB141" s="473">
        <v>0</v>
      </c>
      <c r="AC141" s="478">
        <f>+(AA141/X141)</f>
        <v>1</v>
      </c>
      <c r="AD141" s="478" t="e">
        <f t="shared" si="42"/>
        <v>#DIV/0!</v>
      </c>
      <c r="AE141" s="478">
        <f t="shared" si="43"/>
        <v>0.25</v>
      </c>
      <c r="AF141" s="478" t="e">
        <f t="shared" si="44"/>
        <v>#DIV/0!</v>
      </c>
      <c r="AG141" s="483" t="s">
        <v>1013</v>
      </c>
      <c r="AH141" s="501">
        <v>1</v>
      </c>
      <c r="AI141" s="484" t="str">
        <f>+U141</f>
        <v xml:space="preserve">Reportar el cumplimiento de la ejecución del Plan de Acción </v>
      </c>
      <c r="AJ141" s="473">
        <v>0</v>
      </c>
      <c r="AK141" s="651">
        <v>1</v>
      </c>
      <c r="AL141" s="652">
        <v>0</v>
      </c>
      <c r="AM141" s="478">
        <f t="shared" si="45"/>
        <v>1</v>
      </c>
      <c r="AN141" s="478" t="e">
        <f t="shared" si="46"/>
        <v>#DIV/0!</v>
      </c>
      <c r="AO141" s="478">
        <f t="shared" si="47"/>
        <v>0.5</v>
      </c>
      <c r="AP141" s="478" t="e">
        <f t="shared" si="48"/>
        <v>#DIV/0!</v>
      </c>
      <c r="AQ141" s="630" t="s">
        <v>1050</v>
      </c>
      <c r="AR141" s="501">
        <v>1</v>
      </c>
      <c r="AS141" s="484" t="str">
        <f>+U141</f>
        <v xml:space="preserve">Reportar el cumplimiento de la ejecución del Plan de Acción </v>
      </c>
      <c r="AT141" s="473">
        <v>0</v>
      </c>
      <c r="AU141" s="479"/>
      <c r="AV141" s="479"/>
      <c r="AW141" s="478">
        <f t="shared" si="49"/>
        <v>0</v>
      </c>
      <c r="AX141" s="478" t="e">
        <f t="shared" si="50"/>
        <v>#DIV/0!</v>
      </c>
      <c r="AY141" s="478">
        <f t="shared" si="51"/>
        <v>0.5</v>
      </c>
      <c r="AZ141" s="478" t="e">
        <f t="shared" si="52"/>
        <v>#DIV/0!</v>
      </c>
      <c r="BA141" s="478"/>
      <c r="BB141" s="501">
        <v>1</v>
      </c>
      <c r="BC141" s="484" t="str">
        <f>+U141</f>
        <v xml:space="preserve">Reportar el cumplimiento de la ejecución del Plan de Acción </v>
      </c>
      <c r="BD141" s="473">
        <v>0</v>
      </c>
      <c r="BE141" s="479"/>
      <c r="BF141" s="479"/>
      <c r="BG141" s="472">
        <f t="shared" si="64"/>
        <v>0</v>
      </c>
      <c r="BH141" s="472" t="e">
        <f t="shared" si="65"/>
        <v>#DIV/0!</v>
      </c>
      <c r="BI141" s="472">
        <f t="shared" si="66"/>
        <v>0.5</v>
      </c>
      <c r="BJ141" s="472" t="e">
        <f t="shared" si="67"/>
        <v>#DIV/0!</v>
      </c>
      <c r="BK141" s="472"/>
      <c r="BL141" s="533">
        <f t="shared" si="53"/>
        <v>1</v>
      </c>
      <c r="BM141" s="533" t="str">
        <f t="shared" si="54"/>
        <v>No Prog ni Ejec</v>
      </c>
      <c r="BN141" s="533">
        <f t="shared" si="55"/>
        <v>1</v>
      </c>
      <c r="BO141" s="533" t="str">
        <f t="shared" si="56"/>
        <v>No Prog ni Ejec</v>
      </c>
      <c r="BP141" s="533">
        <f t="shared" si="57"/>
        <v>0</v>
      </c>
      <c r="BQ141" s="533" t="str">
        <f t="shared" si="58"/>
        <v>No Prog ni Ejec</v>
      </c>
      <c r="BR141" s="533">
        <f t="shared" si="59"/>
        <v>0</v>
      </c>
      <c r="BS141" s="533" t="str">
        <f t="shared" si="60"/>
        <v>No Prog ni Ejec</v>
      </c>
      <c r="BT141" s="507">
        <f t="shared" ref="BT141:BT155" si="115">+(X141+AH141+(AR141/3))</f>
        <v>2.3333333333333335</v>
      </c>
      <c r="BU141" s="481" t="str">
        <f t="shared" si="87"/>
        <v xml:space="preserve">Reportar el cumplimiento de la ejecución del Plan de Acción </v>
      </c>
      <c r="BV141" s="482">
        <f t="shared" si="114"/>
        <v>0</v>
      </c>
      <c r="BW141" s="479"/>
      <c r="BX141" s="479"/>
      <c r="BY141" s="479"/>
      <c r="BZ141" s="479"/>
      <c r="CA141" s="479"/>
      <c r="CB141" s="479"/>
      <c r="CC141" s="479"/>
    </row>
    <row r="142" spans="1:81" s="428" customFormat="1" ht="199.5" customHeight="1" x14ac:dyDescent="0.25">
      <c r="A142" s="468">
        <v>12000</v>
      </c>
      <c r="B142" s="469" t="s">
        <v>30</v>
      </c>
      <c r="C142" s="470" t="s">
        <v>355</v>
      </c>
      <c r="D142" s="469" t="s">
        <v>256</v>
      </c>
      <c r="E142" s="470" t="s">
        <v>540</v>
      </c>
      <c r="F142" s="469" t="s">
        <v>136</v>
      </c>
      <c r="G142" s="471" t="s">
        <v>123</v>
      </c>
      <c r="H142" s="472">
        <v>1</v>
      </c>
      <c r="I142" s="470" t="s">
        <v>541</v>
      </c>
      <c r="J142" s="469" t="s">
        <v>135</v>
      </c>
      <c r="K142" s="473">
        <v>61642068</v>
      </c>
      <c r="L142" s="474">
        <v>1</v>
      </c>
      <c r="M142" s="469" t="s">
        <v>51</v>
      </c>
      <c r="N142" s="469" t="s">
        <v>68</v>
      </c>
      <c r="O142" s="469" t="s">
        <v>21</v>
      </c>
      <c r="P142" s="469" t="s">
        <v>36</v>
      </c>
      <c r="Q142" s="469" t="s">
        <v>75</v>
      </c>
      <c r="R142" s="469" t="s">
        <v>182</v>
      </c>
      <c r="S142" s="469" t="s">
        <v>99</v>
      </c>
      <c r="T142" s="472">
        <v>1</v>
      </c>
      <c r="U142" s="475" t="str">
        <f t="shared" si="62"/>
        <v>Asesorar y apoyar en la implementación de MIPG</v>
      </c>
      <c r="V142" s="476">
        <f t="shared" si="63"/>
        <v>61642068</v>
      </c>
      <c r="W142" s="477" t="s">
        <v>114</v>
      </c>
      <c r="X142" s="472">
        <v>0.25</v>
      </c>
      <c r="Y142" s="484" t="str">
        <f>+U142</f>
        <v>Asesorar y apoyar en la implementación de MIPG</v>
      </c>
      <c r="Z142" s="473">
        <v>15410517</v>
      </c>
      <c r="AA142" s="530">
        <f>(AB142/Z142)*0.25</f>
        <v>0.1361111051627924</v>
      </c>
      <c r="AB142" s="473">
        <f>3253331+5136839</f>
        <v>8390170</v>
      </c>
      <c r="AC142" s="478">
        <f t="shared" si="41"/>
        <v>0.5444444206511696</v>
      </c>
      <c r="AD142" s="478">
        <f t="shared" si="42"/>
        <v>0.5444444206511696</v>
      </c>
      <c r="AE142" s="478">
        <f t="shared" si="43"/>
        <v>0.1361111051627924</v>
      </c>
      <c r="AF142" s="478">
        <f t="shared" si="44"/>
        <v>0.1361111051627924</v>
      </c>
      <c r="AG142" s="483" t="s">
        <v>1014</v>
      </c>
      <c r="AH142" s="472">
        <v>0.25</v>
      </c>
      <c r="AI142" s="484" t="str">
        <f>+U142</f>
        <v>Asesorar y apoyar en la implementación de MIPG</v>
      </c>
      <c r="AJ142" s="473">
        <v>15410517</v>
      </c>
      <c r="AK142" s="653">
        <f>(AL142/AJ142)*AH142</f>
        <v>0.25</v>
      </c>
      <c r="AL142" s="652">
        <f>5136839*3</f>
        <v>15410517</v>
      </c>
      <c r="AM142" s="478">
        <f t="shared" si="45"/>
        <v>1</v>
      </c>
      <c r="AN142" s="478">
        <f t="shared" si="46"/>
        <v>1</v>
      </c>
      <c r="AO142" s="478">
        <f t="shared" si="47"/>
        <v>0.3861111051627924</v>
      </c>
      <c r="AP142" s="478">
        <f t="shared" si="48"/>
        <v>0.3861111051627924</v>
      </c>
      <c r="AQ142" s="630" t="s">
        <v>1051</v>
      </c>
      <c r="AR142" s="472">
        <v>0.25</v>
      </c>
      <c r="AS142" s="484" t="str">
        <f>+U142</f>
        <v>Asesorar y apoyar en la implementación de MIPG</v>
      </c>
      <c r="AT142" s="473">
        <v>15410517</v>
      </c>
      <c r="AU142" s="479"/>
      <c r="AV142" s="479"/>
      <c r="AW142" s="478">
        <f t="shared" si="49"/>
        <v>0</v>
      </c>
      <c r="AX142" s="478">
        <f t="shared" si="50"/>
        <v>0</v>
      </c>
      <c r="AY142" s="478">
        <f t="shared" si="51"/>
        <v>0.3861111051627924</v>
      </c>
      <c r="AZ142" s="478">
        <f t="shared" si="52"/>
        <v>0.3861111051627924</v>
      </c>
      <c r="BA142" s="478"/>
      <c r="BB142" s="472">
        <v>0.25</v>
      </c>
      <c r="BC142" s="484" t="str">
        <f>+U142</f>
        <v>Asesorar y apoyar en la implementación de MIPG</v>
      </c>
      <c r="BD142" s="473">
        <v>15410517</v>
      </c>
      <c r="BE142" s="479"/>
      <c r="BF142" s="479"/>
      <c r="BG142" s="472">
        <f t="shared" si="64"/>
        <v>0</v>
      </c>
      <c r="BH142" s="472">
        <f t="shared" si="65"/>
        <v>0</v>
      </c>
      <c r="BI142" s="472">
        <f t="shared" si="66"/>
        <v>0.3861111051627924</v>
      </c>
      <c r="BJ142" s="472">
        <f t="shared" si="67"/>
        <v>0.3861111051627924</v>
      </c>
      <c r="BK142" s="472"/>
      <c r="BL142" s="576">
        <f t="shared" si="53"/>
        <v>0.5444444206511696</v>
      </c>
      <c r="BM142" s="533">
        <f t="shared" si="54"/>
        <v>0.5444444206511696</v>
      </c>
      <c r="BN142" s="576">
        <f t="shared" si="55"/>
        <v>1</v>
      </c>
      <c r="BO142" s="533">
        <f t="shared" si="56"/>
        <v>1</v>
      </c>
      <c r="BP142" s="576">
        <f t="shared" si="57"/>
        <v>0</v>
      </c>
      <c r="BQ142" s="533">
        <f t="shared" si="58"/>
        <v>0</v>
      </c>
      <c r="BR142" s="576">
        <f t="shared" si="59"/>
        <v>0</v>
      </c>
      <c r="BS142" s="533">
        <f t="shared" si="60"/>
        <v>0</v>
      </c>
      <c r="BT142" s="480">
        <f t="shared" si="115"/>
        <v>0.58333333333333337</v>
      </c>
      <c r="BU142" s="481" t="str">
        <f t="shared" si="87"/>
        <v>Asesorar y apoyar en la implementación de MIPG</v>
      </c>
      <c r="BV142" s="482">
        <f t="shared" si="114"/>
        <v>35957873</v>
      </c>
      <c r="BW142" s="479"/>
      <c r="BX142" s="479"/>
      <c r="BY142" s="479"/>
      <c r="BZ142" s="479"/>
      <c r="CA142" s="479"/>
      <c r="CB142" s="479"/>
      <c r="CC142" s="479"/>
    </row>
    <row r="143" spans="1:81" s="428" customFormat="1" ht="99.75" customHeight="1" x14ac:dyDescent="0.25">
      <c r="A143" s="468">
        <v>12000</v>
      </c>
      <c r="B143" s="469" t="s">
        <v>30</v>
      </c>
      <c r="C143" s="470" t="s">
        <v>355</v>
      </c>
      <c r="D143" s="469" t="s">
        <v>256</v>
      </c>
      <c r="E143" s="470" t="s">
        <v>542</v>
      </c>
      <c r="F143" s="469" t="s">
        <v>139</v>
      </c>
      <c r="G143" s="471" t="s">
        <v>124</v>
      </c>
      <c r="H143" s="470">
        <v>1</v>
      </c>
      <c r="I143" s="470" t="s">
        <v>543</v>
      </c>
      <c r="J143" s="469" t="s">
        <v>138</v>
      </c>
      <c r="K143" s="473">
        <v>0</v>
      </c>
      <c r="L143" s="474">
        <v>1</v>
      </c>
      <c r="M143" s="469" t="s">
        <v>48</v>
      </c>
      <c r="N143" s="469" t="s">
        <v>62</v>
      </c>
      <c r="O143" s="469" t="s">
        <v>21</v>
      </c>
      <c r="P143" s="469" t="s">
        <v>23</v>
      </c>
      <c r="Q143" s="469" t="s">
        <v>75</v>
      </c>
      <c r="R143" s="469" t="s">
        <v>628</v>
      </c>
      <c r="S143" s="469" t="s">
        <v>98</v>
      </c>
      <c r="T143" s="509">
        <v>1</v>
      </c>
      <c r="U143" s="475" t="str">
        <f t="shared" si="62"/>
        <v>Elaboración del Informe de Rendición de Cuentas al Congreso de la República 2017-2018</v>
      </c>
      <c r="V143" s="476">
        <f t="shared" si="63"/>
        <v>0</v>
      </c>
      <c r="W143" s="477" t="s">
        <v>117</v>
      </c>
      <c r="X143" s="501">
        <v>0</v>
      </c>
      <c r="Y143" s="484" t="str">
        <f>+U143</f>
        <v>Elaboración del Informe de Rendición de Cuentas al Congreso de la República 2017-2018</v>
      </c>
      <c r="Z143" s="473">
        <v>0</v>
      </c>
      <c r="AA143" s="575">
        <v>0</v>
      </c>
      <c r="AB143" s="473">
        <v>0</v>
      </c>
      <c r="AC143" s="478" t="e">
        <f t="shared" ref="AC143:AC154" si="116">+(AA143/X143)</f>
        <v>#DIV/0!</v>
      </c>
      <c r="AD143" s="478" t="e">
        <f t="shared" ref="AD143" si="117">+(AB143/Z143)</f>
        <v>#DIV/0!</v>
      </c>
      <c r="AE143" s="478">
        <f t="shared" ref="AE143" si="118">+(AA143/T143)</f>
        <v>0</v>
      </c>
      <c r="AF143" s="478" t="e">
        <f t="shared" ref="AF143" si="119">+(AB143/V143)</f>
        <v>#DIV/0!</v>
      </c>
      <c r="AG143" s="483" t="s">
        <v>1015</v>
      </c>
      <c r="AH143" s="501">
        <v>0</v>
      </c>
      <c r="AI143" s="484" t="str">
        <f>+U143</f>
        <v>Elaboración del Informe de Rendición de Cuentas al Congreso de la República 2017-2018</v>
      </c>
      <c r="AJ143" s="473">
        <v>0</v>
      </c>
      <c r="AK143" s="621">
        <v>1</v>
      </c>
      <c r="AL143" s="616">
        <v>0</v>
      </c>
      <c r="AM143" s="478" t="e">
        <f t="shared" ref="AM143" si="120">+(AK143/AH143)</f>
        <v>#DIV/0!</v>
      </c>
      <c r="AN143" s="478" t="e">
        <f t="shared" ref="AN143" si="121">+(AL143/AJ143)</f>
        <v>#DIV/0!</v>
      </c>
      <c r="AO143" s="478">
        <f t="shared" ref="AO143" si="122">+(AK143+AA143)/T143</f>
        <v>1</v>
      </c>
      <c r="AP143" s="478" t="e">
        <f t="shared" ref="AP143" si="123">+(AL143+AB143)/V143</f>
        <v>#DIV/0!</v>
      </c>
      <c r="AQ143" s="654" t="s">
        <v>1175</v>
      </c>
      <c r="AR143" s="501">
        <v>1</v>
      </c>
      <c r="AS143" s="484" t="str">
        <f>+U143</f>
        <v>Elaboración del Informe de Rendición de Cuentas al Congreso de la República 2017-2018</v>
      </c>
      <c r="AT143" s="473">
        <v>0</v>
      </c>
      <c r="AU143" s="479"/>
      <c r="AV143" s="479"/>
      <c r="AW143" s="478">
        <f t="shared" ref="AW143" si="124">+(AU143/AR143)</f>
        <v>0</v>
      </c>
      <c r="AX143" s="478" t="e">
        <f t="shared" ref="AX143" si="125">+(AV143/AT143)</f>
        <v>#DIV/0!</v>
      </c>
      <c r="AY143" s="478">
        <f t="shared" ref="AY143" si="126">+(AK143+AA143+AU143)/T143</f>
        <v>1</v>
      </c>
      <c r="AZ143" s="478" t="e">
        <f t="shared" ref="AZ143" si="127">+(AL143+AB143+AV143)/V143</f>
        <v>#DIV/0!</v>
      </c>
      <c r="BA143" s="478"/>
      <c r="BB143" s="501">
        <v>0</v>
      </c>
      <c r="BC143" s="484" t="str">
        <f>+U143</f>
        <v>Elaboración del Informe de Rendición de Cuentas al Congreso de la República 2017-2018</v>
      </c>
      <c r="BD143" s="473">
        <v>0</v>
      </c>
      <c r="BE143" s="479"/>
      <c r="BF143" s="479"/>
      <c r="BG143" s="472" t="e">
        <f t="shared" si="64"/>
        <v>#DIV/0!</v>
      </c>
      <c r="BH143" s="472" t="e">
        <f t="shared" si="65"/>
        <v>#DIV/0!</v>
      </c>
      <c r="BI143" s="472">
        <f t="shared" si="66"/>
        <v>1</v>
      </c>
      <c r="BJ143" s="472" t="e">
        <f t="shared" si="67"/>
        <v>#DIV/0!</v>
      </c>
      <c r="BK143" s="472"/>
      <c r="BL143" s="533" t="str">
        <f t="shared" ref="BL143:BL154" si="128">IF(AND(X143=0,AA143=0),"No Prog ni Ejec",IF(X143=0,CONCATENATE("No Prog, Ejec=  ",AA143),AA143/X143))</f>
        <v>No Prog ni Ejec</v>
      </c>
      <c r="BM143" s="533" t="str">
        <f t="shared" ref="BM143:BM154" si="129">IF(AND(Z143=0,AB143=0),"No Prog ni Ejec",IF(Z143=0,CONCATENATE("No Prog, Ejec=  ",AB143),AB143/Z143))</f>
        <v>No Prog ni Ejec</v>
      </c>
      <c r="BN143" s="533" t="str">
        <f t="shared" ref="BN143:BN154" si="130">IF(AND(AH143=0,AK143=0),"No Prog ni Ejec",IF(AH143=0,CONCATENATE("No Prog, Ejec=  ",AK143),AK143/AH143))</f>
        <v>No Prog, Ejec=  1</v>
      </c>
      <c r="BO143" s="533" t="str">
        <f t="shared" ref="BO143:BO154" si="131">IF(AND(AJ143=0,AL143=0),"No Prog ni Ejec",IF(AJ143=0,CONCATENATE("No Prog, Ejec=  ",AL143),AL143/AJ143))</f>
        <v>No Prog ni Ejec</v>
      </c>
      <c r="BP143" s="533">
        <f t="shared" ref="BP143:BP154" si="132">IF(AND(AR143=0,AU143=0),"No Prog ni Ejec",IF(AR143=0,CONCATENATE("No Prog, Ejec=  ",AU143),AU143/AR143))</f>
        <v>0</v>
      </c>
      <c r="BQ143" s="533" t="str">
        <f t="shared" ref="BQ143:BQ154" si="133">IF(AND(AT143=0,AV143=0),"No Prog ni Ejec",IF(AT143=0,CONCATENATE("No Prog, Ejec=  ",AV143),AV143/AT143))</f>
        <v>No Prog ni Ejec</v>
      </c>
      <c r="BR143" s="533" t="str">
        <f t="shared" ref="BR143:BR154" si="134">IF(AND(BB143=0,BE143=0),"No Prog ni Ejec",IF(BB143=0,CONCATENATE("No Prog, Ejec=  ",BE143),BE143/BB143))</f>
        <v>No Prog ni Ejec</v>
      </c>
      <c r="BS143" s="533" t="str">
        <f t="shared" ref="BS143:BS154" si="135">IF(AND(BD143=0,BF143=0),"No Prog ni Ejec",IF(BD143=0,CONCATENATE("No Prog, Ejec=  ",BF143),BF143/BD143))</f>
        <v>No Prog ni Ejec</v>
      </c>
      <c r="BT143" s="507">
        <f t="shared" si="115"/>
        <v>0.33333333333333331</v>
      </c>
      <c r="BU143" s="481" t="str">
        <f t="shared" si="87"/>
        <v>Elaboración del Informe de Rendición de Cuentas al Congreso de la República 2017-2018</v>
      </c>
      <c r="BV143" s="482">
        <f t="shared" si="114"/>
        <v>0</v>
      </c>
      <c r="BW143" s="479"/>
      <c r="BX143" s="479"/>
      <c r="BY143" s="479"/>
      <c r="BZ143" s="479"/>
      <c r="CA143" s="479"/>
      <c r="CB143" s="479"/>
      <c r="CC143" s="479"/>
    </row>
    <row r="144" spans="1:81" s="149" customFormat="1" ht="114.75" x14ac:dyDescent="0.25">
      <c r="A144" s="665">
        <v>11700</v>
      </c>
      <c r="B144" s="666" t="s">
        <v>29</v>
      </c>
      <c r="C144" s="667" t="s">
        <v>328</v>
      </c>
      <c r="D144" s="666" t="s">
        <v>256</v>
      </c>
      <c r="E144" s="667" t="s">
        <v>665</v>
      </c>
      <c r="F144" s="666" t="s">
        <v>667</v>
      </c>
      <c r="G144" s="668" t="s">
        <v>123</v>
      </c>
      <c r="H144" s="669">
        <v>1</v>
      </c>
      <c r="I144" s="667" t="s">
        <v>666</v>
      </c>
      <c r="J144" s="666" t="s">
        <v>471</v>
      </c>
      <c r="K144" s="670">
        <v>0</v>
      </c>
      <c r="L144" s="669">
        <v>1</v>
      </c>
      <c r="M144" s="666" t="s">
        <v>45</v>
      </c>
      <c r="N144" s="666" t="s">
        <v>54</v>
      </c>
      <c r="O144" s="666" t="s">
        <v>37</v>
      </c>
      <c r="P144" s="666" t="s">
        <v>38</v>
      </c>
      <c r="Q144" s="666" t="s">
        <v>218</v>
      </c>
      <c r="R144" s="666" t="s">
        <v>379</v>
      </c>
      <c r="S144" s="666" t="s">
        <v>104</v>
      </c>
      <c r="T144" s="669">
        <v>1</v>
      </c>
      <c r="U144" s="671" t="str">
        <f t="shared" ref="U144:U154" si="136">+J144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4" s="672">
        <f t="shared" ref="V144:V154" si="137">+K144</f>
        <v>0</v>
      </c>
      <c r="W144" s="627" t="s">
        <v>114</v>
      </c>
      <c r="X144" s="669">
        <v>0.25</v>
      </c>
      <c r="Y144" s="725" t="str">
        <f>+U144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Z144" s="670">
        <v>0</v>
      </c>
      <c r="AA144" s="673">
        <v>0</v>
      </c>
      <c r="AB144" s="674">
        <v>0</v>
      </c>
      <c r="AC144" s="675">
        <f t="shared" si="116"/>
        <v>0</v>
      </c>
      <c r="AD144" s="669" t="e">
        <f t="shared" ref="AD144:AD154" si="138">+(AB144/Z144)</f>
        <v>#DIV/0!</v>
      </c>
      <c r="AE144" s="669">
        <f t="shared" ref="AE144:AE154" si="139">+(AA144/T144)</f>
        <v>0</v>
      </c>
      <c r="AF144" s="669" t="e">
        <f t="shared" ref="AF144:AF154" si="140">+(AB144/V144)</f>
        <v>#DIV/0!</v>
      </c>
      <c r="AG144" s="676" t="s">
        <v>997</v>
      </c>
      <c r="AH144" s="669">
        <v>0.25</v>
      </c>
      <c r="AI144" s="725" t="str">
        <f>+U144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4" s="670">
        <v>0</v>
      </c>
      <c r="AK144" s="677"/>
      <c r="AL144" s="677"/>
      <c r="AM144" s="669">
        <f t="shared" ref="AM144:AM154" si="141">+(AK144/AH144)</f>
        <v>0</v>
      </c>
      <c r="AN144" s="669" t="e">
        <f t="shared" ref="AN144:AN154" si="142">+(AL144/AJ144)</f>
        <v>#DIV/0!</v>
      </c>
      <c r="AO144" s="669">
        <f t="shared" ref="AO144:AO154" si="143">+(AK144+AA144)/T144</f>
        <v>0</v>
      </c>
      <c r="AP144" s="669" t="e">
        <f t="shared" ref="AP144:AP154" si="144">+(AL144+AB144)/V144</f>
        <v>#DIV/0!</v>
      </c>
      <c r="AQ144" s="669"/>
      <c r="AR144" s="669">
        <v>0.25</v>
      </c>
      <c r="AS144" s="725" t="str">
        <f>+U144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T144" s="670">
        <v>0</v>
      </c>
      <c r="AU144" s="677"/>
      <c r="AV144" s="677"/>
      <c r="AW144" s="669">
        <f t="shared" ref="AW144:AW154" si="145">+(AU144/AR144)</f>
        <v>0</v>
      </c>
      <c r="AX144" s="669" t="e">
        <f t="shared" ref="AX144:AX154" si="146">+(AV144/AT144)</f>
        <v>#DIV/0!</v>
      </c>
      <c r="AY144" s="669">
        <f t="shared" ref="AY144:AY154" si="147">+(AK144+AA144+AU144)/T144</f>
        <v>0</v>
      </c>
      <c r="AZ144" s="669" t="e">
        <f t="shared" ref="AZ144:AZ154" si="148">+(AL144+AB144+AV144)/V144</f>
        <v>#DIV/0!</v>
      </c>
      <c r="BA144" s="669"/>
      <c r="BB144" s="669">
        <v>0.25</v>
      </c>
      <c r="BC144" s="725" t="str">
        <f>+U144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D144" s="670">
        <v>0</v>
      </c>
      <c r="BE144" s="677"/>
      <c r="BF144" s="677"/>
      <c r="BG144" s="669">
        <f t="shared" ref="BG144:BG154" si="149">+(BE144/BB144)</f>
        <v>0</v>
      </c>
      <c r="BH144" s="669" t="e">
        <f t="shared" ref="BH144:BH154" si="150">+(BF144/BD144)</f>
        <v>#DIV/0!</v>
      </c>
      <c r="BI144" s="669">
        <f t="shared" ref="BI144:BI154" si="151">+(AK144+AA144+AU144+BE144)/T144</f>
        <v>0</v>
      </c>
      <c r="BJ144" s="669" t="e">
        <f t="shared" ref="BJ144:BJ154" si="152">+(AL144+AB144+AV144+BF144)/V144</f>
        <v>#DIV/0!</v>
      </c>
      <c r="BK144" s="669"/>
      <c r="BL144" s="678">
        <f t="shared" si="128"/>
        <v>0</v>
      </c>
      <c r="BM144" s="678" t="str">
        <f t="shared" si="129"/>
        <v>No Prog ni Ejec</v>
      </c>
      <c r="BN144" s="678">
        <f t="shared" si="130"/>
        <v>0</v>
      </c>
      <c r="BO144" s="678" t="str">
        <f t="shared" si="131"/>
        <v>No Prog ni Ejec</v>
      </c>
      <c r="BP144" s="678">
        <f t="shared" si="132"/>
        <v>0</v>
      </c>
      <c r="BQ144" s="678" t="str">
        <f t="shared" si="133"/>
        <v>No Prog ni Ejec</v>
      </c>
      <c r="BR144" s="678">
        <f t="shared" si="134"/>
        <v>0</v>
      </c>
      <c r="BS144" s="678" t="str">
        <f t="shared" si="135"/>
        <v>No Prog ni Ejec</v>
      </c>
      <c r="BT144" s="673">
        <f t="shared" si="115"/>
        <v>0.58333333333333337</v>
      </c>
      <c r="BU144" s="679" t="str">
        <f t="shared" si="8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V144" s="674">
        <f t="shared" si="114"/>
        <v>0</v>
      </c>
      <c r="BW144" s="677"/>
      <c r="BX144" s="677"/>
      <c r="BY144" s="677"/>
      <c r="BZ144" s="677"/>
      <c r="CA144" s="677"/>
      <c r="CB144" s="677"/>
      <c r="CC144" s="677"/>
    </row>
    <row r="145" spans="1:81" s="428" customFormat="1" ht="89.25" x14ac:dyDescent="0.25">
      <c r="A145" s="468">
        <v>11700</v>
      </c>
      <c r="B145" s="469" t="s">
        <v>29</v>
      </c>
      <c r="C145" s="470" t="s">
        <v>328</v>
      </c>
      <c r="D145" s="469" t="s">
        <v>256</v>
      </c>
      <c r="E145" s="470" t="s">
        <v>669</v>
      </c>
      <c r="F145" s="469" t="s">
        <v>671</v>
      </c>
      <c r="G145" s="471" t="s">
        <v>123</v>
      </c>
      <c r="H145" s="472">
        <v>1</v>
      </c>
      <c r="I145" s="470" t="s">
        <v>668</v>
      </c>
      <c r="J145" s="469" t="s">
        <v>472</v>
      </c>
      <c r="K145" s="473">
        <v>17000000</v>
      </c>
      <c r="L145" s="472">
        <v>1</v>
      </c>
      <c r="M145" s="469" t="s">
        <v>45</v>
      </c>
      <c r="N145" s="469" t="s">
        <v>54</v>
      </c>
      <c r="O145" s="469" t="s">
        <v>37</v>
      </c>
      <c r="P145" s="469" t="s">
        <v>38</v>
      </c>
      <c r="Q145" s="469" t="s">
        <v>218</v>
      </c>
      <c r="R145" s="469" t="s">
        <v>379</v>
      </c>
      <c r="S145" s="469" t="s">
        <v>104</v>
      </c>
      <c r="T145" s="472">
        <v>1</v>
      </c>
      <c r="U145" s="475" t="str">
        <f t="shared" si="136"/>
        <v xml:space="preserve">Realizar el estudio de seguridad, visita domiciliaria y verificación de la información de la Hoja de Vida y antecedentes financieros de los funcionarios de la entidad. </v>
      </c>
      <c r="V145" s="476">
        <f t="shared" si="137"/>
        <v>17000000</v>
      </c>
      <c r="W145" s="477" t="s">
        <v>114</v>
      </c>
      <c r="X145" s="472">
        <v>0.25</v>
      </c>
      <c r="Y145" s="484" t="str">
        <f>+U145</f>
        <v xml:space="preserve">Realizar el estudio de seguridad, visita domiciliaria y verificación de la información de la Hoja de Vida y antecedentes financieros de los funcionarios de la entidad. </v>
      </c>
      <c r="Z145" s="473">
        <v>4250000</v>
      </c>
      <c r="AA145" s="570">
        <f>+AB145/V145</f>
        <v>7.8399999999999997E-2</v>
      </c>
      <c r="AB145" s="524">
        <v>1332800</v>
      </c>
      <c r="AC145" s="478">
        <f t="shared" si="116"/>
        <v>0.31359999999999999</v>
      </c>
      <c r="AD145" s="472">
        <f t="shared" si="138"/>
        <v>0.31359999999999999</v>
      </c>
      <c r="AE145" s="472">
        <f t="shared" si="139"/>
        <v>7.8399999999999997E-2</v>
      </c>
      <c r="AF145" s="472">
        <f t="shared" si="140"/>
        <v>7.8399999999999997E-2</v>
      </c>
      <c r="AG145" s="483" t="s">
        <v>896</v>
      </c>
      <c r="AH145" s="472">
        <v>0.25</v>
      </c>
      <c r="AI145" s="484" t="str">
        <f>+U145</f>
        <v xml:space="preserve">Realizar el estudio de seguridad, visita domiciliaria y verificación de la información de la Hoja de Vida y antecedentes financieros de los funcionarios de la entidad. </v>
      </c>
      <c r="AJ145" s="473">
        <v>4250000</v>
      </c>
      <c r="AK145" s="612">
        <v>0</v>
      </c>
      <c r="AL145" s="648">
        <v>0</v>
      </c>
      <c r="AM145" s="472">
        <f t="shared" si="141"/>
        <v>0</v>
      </c>
      <c r="AN145" s="472">
        <f t="shared" si="142"/>
        <v>0</v>
      </c>
      <c r="AO145" s="472">
        <f t="shared" si="143"/>
        <v>7.8399999999999997E-2</v>
      </c>
      <c r="AP145" s="472">
        <f t="shared" si="144"/>
        <v>7.8399999999999997E-2</v>
      </c>
      <c r="AQ145" s="619" t="s">
        <v>1062</v>
      </c>
      <c r="AR145" s="472">
        <v>0.25</v>
      </c>
      <c r="AS145" s="484" t="str">
        <f>+U145</f>
        <v xml:space="preserve">Realizar el estudio de seguridad, visita domiciliaria y verificación de la información de la Hoja de Vida y antecedentes financieros de los funcionarios de la entidad. </v>
      </c>
      <c r="AT145" s="473">
        <v>4250000</v>
      </c>
      <c r="AU145" s="471"/>
      <c r="AV145" s="524"/>
      <c r="AW145" s="472">
        <f t="shared" si="145"/>
        <v>0</v>
      </c>
      <c r="AX145" s="472">
        <f t="shared" si="146"/>
        <v>0</v>
      </c>
      <c r="AY145" s="472">
        <f t="shared" si="147"/>
        <v>7.8399999999999997E-2</v>
      </c>
      <c r="AZ145" s="472">
        <f t="shared" si="148"/>
        <v>7.8399999999999997E-2</v>
      </c>
      <c r="BA145" s="472"/>
      <c r="BB145" s="472">
        <v>0.25</v>
      </c>
      <c r="BC145" s="484" t="str">
        <f>+U145</f>
        <v xml:space="preserve">Realizar el estudio de seguridad, visita domiciliaria y verificación de la información de la Hoja de Vida y antecedentes financieros de los funcionarios de la entidad. </v>
      </c>
      <c r="BD145" s="473">
        <v>4250000</v>
      </c>
      <c r="BE145" s="479"/>
      <c r="BF145" s="479"/>
      <c r="BG145" s="472">
        <f t="shared" si="149"/>
        <v>0</v>
      </c>
      <c r="BH145" s="472">
        <f t="shared" si="150"/>
        <v>0</v>
      </c>
      <c r="BI145" s="472">
        <f t="shared" si="151"/>
        <v>7.8399999999999997E-2</v>
      </c>
      <c r="BJ145" s="472">
        <f t="shared" si="152"/>
        <v>7.8399999999999997E-2</v>
      </c>
      <c r="BK145" s="472"/>
      <c r="BL145" s="533">
        <f t="shared" si="128"/>
        <v>0.31359999999999999</v>
      </c>
      <c r="BM145" s="533">
        <f t="shared" si="129"/>
        <v>0.31359999999999999</v>
      </c>
      <c r="BN145" s="533">
        <f t="shared" si="130"/>
        <v>0</v>
      </c>
      <c r="BO145" s="533">
        <f t="shared" si="131"/>
        <v>0</v>
      </c>
      <c r="BP145" s="533">
        <f t="shared" si="132"/>
        <v>0</v>
      </c>
      <c r="BQ145" s="533">
        <f t="shared" si="133"/>
        <v>0</v>
      </c>
      <c r="BR145" s="533">
        <f t="shared" si="134"/>
        <v>0</v>
      </c>
      <c r="BS145" s="533">
        <f t="shared" si="135"/>
        <v>0</v>
      </c>
      <c r="BT145" s="480">
        <f t="shared" si="115"/>
        <v>0.58333333333333337</v>
      </c>
      <c r="BU145" s="481" t="str">
        <f t="shared" ref="BU145:BU154" si="153">+U145</f>
        <v xml:space="preserve">Realizar el estudio de seguridad, visita domiciliaria y verificación de la información de la Hoja de Vida y antecedentes financieros de los funcionarios de la entidad. </v>
      </c>
      <c r="BV145" s="482">
        <f t="shared" si="114"/>
        <v>9916666.666666666</v>
      </c>
      <c r="BW145" s="479"/>
      <c r="BX145" s="479"/>
      <c r="BY145" s="479"/>
      <c r="BZ145" s="479"/>
      <c r="CA145" s="479"/>
      <c r="CB145" s="479"/>
      <c r="CC145" s="479"/>
    </row>
    <row r="146" spans="1:81" s="428" customFormat="1" ht="63.75" x14ac:dyDescent="0.25">
      <c r="A146" s="468">
        <v>11900</v>
      </c>
      <c r="B146" s="469" t="s">
        <v>349</v>
      </c>
      <c r="C146" s="470" t="s">
        <v>357</v>
      </c>
      <c r="D146" s="469" t="s">
        <v>146</v>
      </c>
      <c r="E146" s="971" t="s">
        <v>692</v>
      </c>
      <c r="F146" s="969" t="s">
        <v>838</v>
      </c>
      <c r="G146" s="971" t="s">
        <v>123</v>
      </c>
      <c r="H146" s="472">
        <v>1</v>
      </c>
      <c r="I146" s="971" t="s">
        <v>693</v>
      </c>
      <c r="J146" s="969" t="s">
        <v>836</v>
      </c>
      <c r="K146" s="978">
        <v>0</v>
      </c>
      <c r="L146" s="530">
        <v>1</v>
      </c>
      <c r="M146" s="969" t="s">
        <v>46</v>
      </c>
      <c r="N146" s="969" t="s">
        <v>74</v>
      </c>
      <c r="O146" s="969" t="s">
        <v>21</v>
      </c>
      <c r="P146" s="969" t="s">
        <v>36</v>
      </c>
      <c r="Q146" s="969" t="s">
        <v>229</v>
      </c>
      <c r="R146" s="469" t="s">
        <v>703</v>
      </c>
      <c r="S146" s="469" t="s">
        <v>99</v>
      </c>
      <c r="T146" s="474">
        <v>1</v>
      </c>
      <c r="U146" s="1004" t="str">
        <f t="shared" si="136"/>
        <v xml:space="preserve">
Expedición actos administrativos iniciales ordenando el cobro.</v>
      </c>
      <c r="V146" s="1001">
        <f t="shared" si="137"/>
        <v>0</v>
      </c>
      <c r="W146" s="971" t="s">
        <v>117</v>
      </c>
      <c r="X146" s="472">
        <v>0.1</v>
      </c>
      <c r="Y146" s="1375" t="str">
        <f>+U146</f>
        <v xml:space="preserve">
Expedición actos administrativos iniciales ordenando el cobro.</v>
      </c>
      <c r="Z146" s="978">
        <v>0</v>
      </c>
      <c r="AA146" s="480">
        <f>673/4000</f>
        <v>0.16825000000000001</v>
      </c>
      <c r="AB146" s="987">
        <v>0</v>
      </c>
      <c r="AC146" s="534">
        <f>+(AA146/X146)</f>
        <v>1.6825000000000001</v>
      </c>
      <c r="AD146" s="975" t="e">
        <f>+(AB146/Z146)</f>
        <v>#DIV/0!</v>
      </c>
      <c r="AE146" s="535">
        <f>+(AA146/T146)</f>
        <v>0.16825000000000001</v>
      </c>
      <c r="AF146" s="975" t="e">
        <f>+(AB146/B146)</f>
        <v>#VALUE!</v>
      </c>
      <c r="AG146" s="999" t="s">
        <v>998</v>
      </c>
      <c r="AH146" s="472">
        <v>0.3</v>
      </c>
      <c r="AI146" s="1377" t="str">
        <f>+U146</f>
        <v xml:space="preserve">
Expedición actos administrativos iniciales ordenando el cobro.</v>
      </c>
      <c r="AJ146" s="978">
        <v>0</v>
      </c>
      <c r="AK146" s="612">
        <f>(1261/4000)</f>
        <v>0.31524999999999997</v>
      </c>
      <c r="AL146" s="990">
        <v>0</v>
      </c>
      <c r="AM146" s="535">
        <f>+(AK146/AH146)</f>
        <v>1.0508333333333333</v>
      </c>
      <c r="AN146" s="975" t="e">
        <f>+(AL146/AJ146)</f>
        <v>#DIV/0!</v>
      </c>
      <c r="AO146" s="535">
        <f>+(AK146+AA146)/T146</f>
        <v>0.48349999999999999</v>
      </c>
      <c r="AP146" s="975" t="e">
        <f>+(AL146+AB146/V146)</f>
        <v>#DIV/0!</v>
      </c>
      <c r="AQ146" s="1006" t="s">
        <v>1176</v>
      </c>
      <c r="AR146" s="472">
        <v>0.3</v>
      </c>
      <c r="AS146" s="1377" t="str">
        <f>+U146</f>
        <v xml:space="preserve">
Expedición actos administrativos iniciales ordenando el cobro.</v>
      </c>
      <c r="AT146" s="978">
        <v>0</v>
      </c>
      <c r="AU146" s="479"/>
      <c r="AV146" s="479"/>
      <c r="AW146" s="472">
        <f t="shared" si="145"/>
        <v>0</v>
      </c>
      <c r="AX146" s="975" t="e">
        <f t="shared" si="146"/>
        <v>#DIV/0!</v>
      </c>
      <c r="AY146" s="472">
        <f t="shared" si="147"/>
        <v>0.48349999999999999</v>
      </c>
      <c r="AZ146" s="975" t="e">
        <f t="shared" si="148"/>
        <v>#DIV/0!</v>
      </c>
      <c r="BA146" s="531"/>
      <c r="BB146" s="472">
        <v>0.3</v>
      </c>
      <c r="BC146" s="1373" t="str">
        <f>+U146</f>
        <v xml:space="preserve">
Expedición actos administrativos iniciales ordenando el cobro.</v>
      </c>
      <c r="BD146" s="978">
        <v>0</v>
      </c>
      <c r="BE146" s="479"/>
      <c r="BF146" s="479"/>
      <c r="BG146" s="472">
        <f t="shared" si="149"/>
        <v>0</v>
      </c>
      <c r="BH146" s="975" t="e">
        <f>+(BF146/BD146)</f>
        <v>#DIV/0!</v>
      </c>
      <c r="BI146" s="472">
        <f t="shared" si="151"/>
        <v>0.48349999999999999</v>
      </c>
      <c r="BJ146" s="975" t="e">
        <f t="shared" si="152"/>
        <v>#DIV/0!</v>
      </c>
      <c r="BK146" s="531"/>
      <c r="BL146" s="533">
        <f t="shared" si="128"/>
        <v>1.6825000000000001</v>
      </c>
      <c r="BM146" s="984" t="str">
        <f t="shared" si="129"/>
        <v>No Prog ni Ejec</v>
      </c>
      <c r="BN146" s="533">
        <f t="shared" si="130"/>
        <v>1.0508333333333333</v>
      </c>
      <c r="BO146" s="984" t="str">
        <f t="shared" si="131"/>
        <v>No Prog ni Ejec</v>
      </c>
      <c r="BP146" s="533">
        <f t="shared" si="132"/>
        <v>0</v>
      </c>
      <c r="BQ146" s="984" t="str">
        <f t="shared" si="133"/>
        <v>No Prog ni Ejec</v>
      </c>
      <c r="BR146" s="533">
        <f t="shared" si="134"/>
        <v>0</v>
      </c>
      <c r="BS146" s="984" t="str">
        <f t="shared" si="135"/>
        <v>No Prog ni Ejec</v>
      </c>
      <c r="BT146" s="480">
        <f t="shared" si="115"/>
        <v>0.5</v>
      </c>
      <c r="BU146" s="983" t="str">
        <f t="shared" si="153"/>
        <v xml:space="preserve">
Expedición actos administrativos iniciales ordenando el cobro.</v>
      </c>
      <c r="BV146" s="482">
        <f t="shared" si="114"/>
        <v>0</v>
      </c>
      <c r="BW146" s="479"/>
      <c r="BX146" s="479"/>
      <c r="BY146" s="479"/>
      <c r="BZ146" s="479"/>
      <c r="CA146" s="479"/>
      <c r="CB146" s="479"/>
      <c r="CC146" s="479"/>
    </row>
    <row r="147" spans="1:81" s="428" customFormat="1" ht="114.75" x14ac:dyDescent="0.25">
      <c r="A147" s="468">
        <v>11900</v>
      </c>
      <c r="B147" s="469" t="s">
        <v>349</v>
      </c>
      <c r="C147" s="470" t="s">
        <v>357</v>
      </c>
      <c r="D147" s="469" t="s">
        <v>146</v>
      </c>
      <c r="E147" s="972"/>
      <c r="F147" s="970"/>
      <c r="G147" s="972"/>
      <c r="H147" s="484" t="s">
        <v>875</v>
      </c>
      <c r="I147" s="972"/>
      <c r="J147" s="970"/>
      <c r="K147" s="979"/>
      <c r="L147" s="484" t="str">
        <f>+H147</f>
        <v>Pendiente definir de acuerdo al comportamiento del primer trimestre del 2018</v>
      </c>
      <c r="M147" s="970"/>
      <c r="N147" s="970"/>
      <c r="O147" s="970"/>
      <c r="P147" s="970"/>
      <c r="Q147" s="970"/>
      <c r="R147" s="469" t="s">
        <v>840</v>
      </c>
      <c r="S147" s="469" t="s">
        <v>99</v>
      </c>
      <c r="T147" s="484" t="str">
        <f>+L147</f>
        <v>Pendiente definir de acuerdo al comportamiento del primer trimestre del 2018</v>
      </c>
      <c r="U147" s="1005"/>
      <c r="V147" s="1003"/>
      <c r="W147" s="972"/>
      <c r="X147" s="472" t="s">
        <v>792</v>
      </c>
      <c r="Y147" s="974"/>
      <c r="Z147" s="979"/>
      <c r="AA147" s="479" t="s">
        <v>792</v>
      </c>
      <c r="AB147" s="988"/>
      <c r="AC147" s="534" t="e">
        <f>+(AA147/X147)</f>
        <v>#VALUE!</v>
      </c>
      <c r="AD147" s="976"/>
      <c r="AE147" s="535" t="e">
        <f>+(AA147/T147)</f>
        <v>#VALUE!</v>
      </c>
      <c r="AF147" s="976"/>
      <c r="AG147" s="1000"/>
      <c r="AH147" s="484" t="str">
        <f>+T147</f>
        <v>Pendiente definir de acuerdo al comportamiento del primer trimestre del 2018</v>
      </c>
      <c r="AI147" s="989"/>
      <c r="AJ147" s="979"/>
      <c r="AK147" s="692" t="s">
        <v>792</v>
      </c>
      <c r="AL147" s="991"/>
      <c r="AM147" s="535" t="e">
        <f>+(AK147/AH147)</f>
        <v>#VALUE!</v>
      </c>
      <c r="AN147" s="976"/>
      <c r="AO147" s="535" t="e">
        <f>+(AK147+AA147)/T147</f>
        <v>#VALUE!</v>
      </c>
      <c r="AP147" s="976"/>
      <c r="AQ147" s="1007"/>
      <c r="AR147" s="484" t="str">
        <f>+AH147</f>
        <v>Pendiente definir de acuerdo al comportamiento del primer trimestre del 2018</v>
      </c>
      <c r="AS147" s="989"/>
      <c r="AT147" s="979"/>
      <c r="AU147" s="479"/>
      <c r="AV147" s="479"/>
      <c r="AW147" s="472" t="e">
        <f>+(AU147/AR147)</f>
        <v>#VALUE!</v>
      </c>
      <c r="AX147" s="976"/>
      <c r="AY147" s="472" t="e">
        <f t="shared" ref="AY147" si="154">+(AK147+AA147+AU147)/T147</f>
        <v>#VALUE!</v>
      </c>
      <c r="AZ147" s="976"/>
      <c r="BA147" s="536"/>
      <c r="BB147" s="484" t="str">
        <f>+T147</f>
        <v>Pendiente definir de acuerdo al comportamiento del primer trimestre del 2018</v>
      </c>
      <c r="BC147" s="970"/>
      <c r="BD147" s="979"/>
      <c r="BE147" s="479"/>
      <c r="BF147" s="479"/>
      <c r="BG147" s="472" t="e">
        <f t="shared" ref="BG147" si="155">+(BE147/BB147)</f>
        <v>#VALUE!</v>
      </c>
      <c r="BH147" s="976"/>
      <c r="BI147" s="472" t="e">
        <f>+(AK147+AA147+AU147+BE147)/T147</f>
        <v>#VALUE!</v>
      </c>
      <c r="BJ147" s="976"/>
      <c r="BK147" s="536"/>
      <c r="BL147" s="533" t="str">
        <f>IF(AND(Z146=0,AB146=0),"No Prog ni Ejec",IF(Z146=0,CONCATENATE("No Prog, Ejec=  ",AB146),AB146/Z146))</f>
        <v>No Prog ni Ejec</v>
      </c>
      <c r="BM147" s="986"/>
      <c r="BN147" s="533" t="str">
        <f>IF(AND(AJ146=0,AL146=0),"No Prog ni Ejec",IF(AJ146=0,CONCATENATE("No Prog, Ejec=  ",AL146),AL146/AJ146))</f>
        <v>No Prog ni Ejec</v>
      </c>
      <c r="BO147" s="986"/>
      <c r="BP147" s="533" t="e">
        <f t="shared" si="132"/>
        <v>#VALUE!</v>
      </c>
      <c r="BQ147" s="986"/>
      <c r="BR147" s="533" t="e">
        <f t="shared" si="134"/>
        <v>#VALUE!</v>
      </c>
      <c r="BS147" s="986"/>
      <c r="BT147" s="480" t="str">
        <f>+T147</f>
        <v>Pendiente definir de acuerdo al comportamiento del primer trimestre del 2018</v>
      </c>
      <c r="BU147" s="983"/>
      <c r="BV147" s="482">
        <f t="shared" si="114"/>
        <v>0</v>
      </c>
      <c r="BW147" s="479"/>
      <c r="BX147" s="479"/>
      <c r="BY147" s="479"/>
      <c r="BZ147" s="479"/>
      <c r="CA147" s="479"/>
      <c r="CB147" s="479"/>
      <c r="CC147" s="479"/>
    </row>
    <row r="148" spans="1:81" s="428" customFormat="1" ht="178.5" x14ac:dyDescent="0.25">
      <c r="A148" s="468">
        <v>11900</v>
      </c>
      <c r="B148" s="469" t="s">
        <v>349</v>
      </c>
      <c r="C148" s="470" t="s">
        <v>357</v>
      </c>
      <c r="D148" s="469" t="s">
        <v>146</v>
      </c>
      <c r="E148" s="971" t="s">
        <v>719</v>
      </c>
      <c r="F148" s="969" t="s">
        <v>704</v>
      </c>
      <c r="G148" s="971" t="s">
        <v>123</v>
      </c>
      <c r="H148" s="472">
        <v>1</v>
      </c>
      <c r="I148" s="971" t="s">
        <v>720</v>
      </c>
      <c r="J148" s="969" t="s">
        <v>764</v>
      </c>
      <c r="K148" s="978">
        <v>0</v>
      </c>
      <c r="L148" s="474">
        <v>1</v>
      </c>
      <c r="M148" s="969" t="s">
        <v>46</v>
      </c>
      <c r="N148" s="969" t="s">
        <v>74</v>
      </c>
      <c r="O148" s="969" t="s">
        <v>21</v>
      </c>
      <c r="P148" s="969" t="s">
        <v>36</v>
      </c>
      <c r="Q148" s="969" t="s">
        <v>229</v>
      </c>
      <c r="R148" s="469" t="s">
        <v>706</v>
      </c>
      <c r="S148" s="469" t="s">
        <v>99</v>
      </c>
      <c r="T148" s="474">
        <v>1</v>
      </c>
      <c r="U148" s="1004" t="str">
        <f>+J148</f>
        <v>Adelantar proceso coactivo a partir de la  ejecutoria del acto administrativo que ordenó el cobro.</v>
      </c>
      <c r="V148" s="1001">
        <f t="shared" si="137"/>
        <v>0</v>
      </c>
      <c r="W148" s="971" t="s">
        <v>117</v>
      </c>
      <c r="X148" s="472">
        <v>0</v>
      </c>
      <c r="Y148" s="1375" t="str">
        <f>+U148</f>
        <v>Adelantar proceso coactivo a partir de la  ejecutoria del acto administrativo que ordenó el cobro.</v>
      </c>
      <c r="Z148" s="978">
        <v>0</v>
      </c>
      <c r="AA148" s="556">
        <v>0</v>
      </c>
      <c r="AB148" s="987">
        <v>0</v>
      </c>
      <c r="AC148" s="478" t="e">
        <f t="shared" si="116"/>
        <v>#DIV/0!</v>
      </c>
      <c r="AD148" s="975" t="e">
        <f t="shared" si="138"/>
        <v>#DIV/0!</v>
      </c>
      <c r="AE148" s="472">
        <f t="shared" si="139"/>
        <v>0</v>
      </c>
      <c r="AF148" s="975" t="e">
        <f t="shared" si="140"/>
        <v>#DIV/0!</v>
      </c>
      <c r="AG148" s="483" t="s">
        <v>999</v>
      </c>
      <c r="AH148" s="472">
        <v>0</v>
      </c>
      <c r="AI148" s="1377" t="str">
        <f>+U148</f>
        <v>Adelantar proceso coactivo a partir de la  ejecutoria del acto administrativo que ordenó el cobro.</v>
      </c>
      <c r="AJ148" s="473">
        <v>0</v>
      </c>
      <c r="AK148" s="693">
        <f>0/60</f>
        <v>0</v>
      </c>
      <c r="AL148" s="990">
        <v>0</v>
      </c>
      <c r="AM148" s="472" t="e">
        <f t="shared" si="141"/>
        <v>#DIV/0!</v>
      </c>
      <c r="AN148" s="975" t="e">
        <f t="shared" si="142"/>
        <v>#DIV/0!</v>
      </c>
      <c r="AO148" s="472">
        <f t="shared" si="143"/>
        <v>0</v>
      </c>
      <c r="AP148" s="975" t="e">
        <f t="shared" si="144"/>
        <v>#DIV/0!</v>
      </c>
      <c r="AQ148" s="1006" t="s">
        <v>1177</v>
      </c>
      <c r="AR148" s="472">
        <v>0.25</v>
      </c>
      <c r="AS148" s="1377" t="str">
        <f>+U148</f>
        <v>Adelantar proceso coactivo a partir de la  ejecutoria del acto administrativo que ordenó el cobro.</v>
      </c>
      <c r="AT148" s="473">
        <v>0</v>
      </c>
      <c r="AU148" s="479"/>
      <c r="AV148" s="479"/>
      <c r="AW148" s="472">
        <f t="shared" si="145"/>
        <v>0</v>
      </c>
      <c r="AX148" s="975" t="e">
        <f t="shared" si="146"/>
        <v>#DIV/0!</v>
      </c>
      <c r="AY148" s="472">
        <f t="shared" si="147"/>
        <v>0</v>
      </c>
      <c r="AZ148" s="975" t="e">
        <f t="shared" si="148"/>
        <v>#DIV/0!</v>
      </c>
      <c r="BA148" s="531"/>
      <c r="BB148" s="472">
        <v>0.75</v>
      </c>
      <c r="BC148" s="1377" t="str">
        <f>+U148</f>
        <v>Adelantar proceso coactivo a partir de la  ejecutoria del acto administrativo que ordenó el cobro.</v>
      </c>
      <c r="BD148" s="473">
        <v>0</v>
      </c>
      <c r="BE148" s="479"/>
      <c r="BF148" s="479"/>
      <c r="BG148" s="472">
        <f t="shared" si="149"/>
        <v>0</v>
      </c>
      <c r="BH148" s="975" t="e">
        <f t="shared" si="150"/>
        <v>#DIV/0!</v>
      </c>
      <c r="BI148" s="472">
        <f t="shared" si="151"/>
        <v>0</v>
      </c>
      <c r="BJ148" s="975" t="e">
        <f t="shared" si="152"/>
        <v>#DIV/0!</v>
      </c>
      <c r="BK148" s="531"/>
      <c r="BL148" s="533" t="str">
        <f t="shared" si="128"/>
        <v>No Prog ni Ejec</v>
      </c>
      <c r="BM148" s="984" t="str">
        <f t="shared" si="129"/>
        <v>No Prog ni Ejec</v>
      </c>
      <c r="BN148" s="533" t="str">
        <f t="shared" si="130"/>
        <v>No Prog ni Ejec</v>
      </c>
      <c r="BO148" s="984" t="str">
        <f t="shared" si="131"/>
        <v>No Prog ni Ejec</v>
      </c>
      <c r="BP148" s="533">
        <f t="shared" si="132"/>
        <v>0</v>
      </c>
      <c r="BQ148" s="984" t="str">
        <f t="shared" si="133"/>
        <v>No Prog ni Ejec</v>
      </c>
      <c r="BR148" s="533">
        <f t="shared" si="134"/>
        <v>0</v>
      </c>
      <c r="BS148" s="984" t="str">
        <f t="shared" si="135"/>
        <v>No Prog ni Ejec</v>
      </c>
      <c r="BT148" s="480">
        <f t="shared" si="115"/>
        <v>8.3333333333333329E-2</v>
      </c>
      <c r="BU148" s="983" t="str">
        <f t="shared" si="153"/>
        <v>Adelantar proceso coactivo a partir de la  ejecutoria del acto administrativo que ordenó el cobro.</v>
      </c>
      <c r="BV148" s="482">
        <f t="shared" si="114"/>
        <v>0</v>
      </c>
      <c r="BW148" s="479"/>
      <c r="BX148" s="479"/>
      <c r="BY148" s="479"/>
      <c r="BZ148" s="479"/>
      <c r="CA148" s="479"/>
      <c r="CB148" s="479"/>
      <c r="CC148" s="479"/>
    </row>
    <row r="149" spans="1:81" s="428" customFormat="1" ht="127.5" x14ac:dyDescent="0.25">
      <c r="A149" s="468">
        <v>11900</v>
      </c>
      <c r="B149" s="469" t="s">
        <v>349</v>
      </c>
      <c r="C149" s="470" t="s">
        <v>357</v>
      </c>
      <c r="D149" s="469" t="s">
        <v>146</v>
      </c>
      <c r="E149" s="972"/>
      <c r="F149" s="970"/>
      <c r="G149" s="972"/>
      <c r="H149" s="472" t="s">
        <v>875</v>
      </c>
      <c r="I149" s="972"/>
      <c r="J149" s="970"/>
      <c r="K149" s="979"/>
      <c r="L149" s="474" t="str">
        <f>+H149</f>
        <v>Pendiente definir de acuerdo al comportamiento del primer trimestre del 2018</v>
      </c>
      <c r="M149" s="970"/>
      <c r="N149" s="970"/>
      <c r="O149" s="970"/>
      <c r="P149" s="970"/>
      <c r="Q149" s="970"/>
      <c r="R149" s="469" t="s">
        <v>839</v>
      </c>
      <c r="S149" s="469" t="s">
        <v>99</v>
      </c>
      <c r="T149" s="474" t="str">
        <f>+H149</f>
        <v>Pendiente definir de acuerdo al comportamiento del primer trimestre del 2018</v>
      </c>
      <c r="U149" s="1005"/>
      <c r="V149" s="1003"/>
      <c r="W149" s="972"/>
      <c r="X149" s="472" t="s">
        <v>792</v>
      </c>
      <c r="Y149" s="974"/>
      <c r="Z149" s="979"/>
      <c r="AA149" s="479" t="s">
        <v>792</v>
      </c>
      <c r="AB149" s="988"/>
      <c r="AC149" s="478" t="e">
        <f t="shared" ref="AC149" si="156">+(AA149/X149)</f>
        <v>#VALUE!</v>
      </c>
      <c r="AD149" s="976"/>
      <c r="AE149" s="472" t="e">
        <f t="shared" ref="AE149" si="157">+(AA149/T149)</f>
        <v>#VALUE!</v>
      </c>
      <c r="AF149" s="976"/>
      <c r="AG149" s="483"/>
      <c r="AH149" s="484" t="str">
        <f>+H149</f>
        <v>Pendiente definir de acuerdo al comportamiento del primer trimestre del 2018</v>
      </c>
      <c r="AI149" s="989"/>
      <c r="AJ149" s="473"/>
      <c r="AK149" s="692" t="s">
        <v>792</v>
      </c>
      <c r="AL149" s="991"/>
      <c r="AM149" s="472" t="e">
        <f t="shared" ref="AM149" si="158">+(AK149/AH149)</f>
        <v>#VALUE!</v>
      </c>
      <c r="AN149" s="976"/>
      <c r="AO149" s="472" t="e">
        <f t="shared" ref="AO149" si="159">+(AK149+AA149)/T149</f>
        <v>#VALUE!</v>
      </c>
      <c r="AP149" s="976"/>
      <c r="AQ149" s="1007"/>
      <c r="AR149" s="481" t="str">
        <f>+H149</f>
        <v>Pendiente definir de acuerdo al comportamiento del primer trimestre del 2018</v>
      </c>
      <c r="AS149" s="1378"/>
      <c r="AT149" s="473"/>
      <c r="AU149" s="479"/>
      <c r="AV149" s="479"/>
      <c r="AW149" s="472" t="e">
        <f t="shared" ref="AW149" si="160">+(AU149/AR149)</f>
        <v>#VALUE!</v>
      </c>
      <c r="AX149" s="976"/>
      <c r="AY149" s="472" t="e">
        <f t="shared" ref="AY149" si="161">+(AK149+AA149+AU149)/T149</f>
        <v>#VALUE!</v>
      </c>
      <c r="AZ149" s="976"/>
      <c r="BA149" s="536"/>
      <c r="BB149" s="484" t="str">
        <f>+H149</f>
        <v>Pendiente definir de acuerdo al comportamiento del primer trimestre del 2018</v>
      </c>
      <c r="BC149" s="1378"/>
      <c r="BD149" s="473"/>
      <c r="BE149" s="479"/>
      <c r="BF149" s="479"/>
      <c r="BG149" s="472" t="e">
        <f t="shared" ref="BG149" si="162">+(BE149/BB149)</f>
        <v>#VALUE!</v>
      </c>
      <c r="BH149" s="976"/>
      <c r="BI149" s="472" t="e">
        <f t="shared" ref="BI149" si="163">+(AK149+AA149+AU149+BE149)/T149</f>
        <v>#VALUE!</v>
      </c>
      <c r="BJ149" s="976"/>
      <c r="BK149" s="536"/>
      <c r="BL149" s="533" t="str">
        <f>IF(AND(Z148=0,AB148=0),"No Prog ni Ejec",IF(Z148=0,CONCATENATE("No Prog, Ejec=  ",AB148),AB148/Z148))</f>
        <v>No Prog ni Ejec</v>
      </c>
      <c r="BM149" s="986"/>
      <c r="BN149" s="533" t="str">
        <f>IF(AND(AJ148=0,AL148=0),"No Prog ni Ejec",IF(AJ148=0,CONCATENATE("No Prog, Ejec=  ",AL148),AL148/AJ148))</f>
        <v>No Prog ni Ejec</v>
      </c>
      <c r="BO149" s="986"/>
      <c r="BP149" s="533" t="e">
        <f t="shared" ref="BP149" si="164">IF(AND(AR149=0,AU149=0),"No Prog ni Ejec",IF(AR149=0,CONCATENATE("No Prog, Ejec=  ",AU149),AU149/AR149))</f>
        <v>#VALUE!</v>
      </c>
      <c r="BQ149" s="986"/>
      <c r="BR149" s="533" t="e">
        <f t="shared" ref="BR149" si="165">IF(AND(BB149=0,BE149=0),"No Prog ni Ejec",IF(BB149=0,CONCATENATE("No Prog, Ejec=  ",BE149),BE149/BB149))</f>
        <v>#VALUE!</v>
      </c>
      <c r="BS149" s="986"/>
      <c r="BT149" s="480" t="str">
        <f>+H149</f>
        <v>Pendiente definir de acuerdo al comportamiento del primer trimestre del 2018</v>
      </c>
      <c r="BU149" s="983"/>
      <c r="BV149" s="482">
        <f t="shared" si="114"/>
        <v>0</v>
      </c>
      <c r="BW149" s="479"/>
      <c r="BX149" s="479"/>
      <c r="BY149" s="479"/>
      <c r="BZ149" s="479"/>
      <c r="CA149" s="479"/>
      <c r="CB149" s="479"/>
      <c r="CC149" s="479"/>
    </row>
    <row r="150" spans="1:81" s="428" customFormat="1" ht="191.25" x14ac:dyDescent="0.25">
      <c r="A150" s="468">
        <v>11900</v>
      </c>
      <c r="B150" s="469" t="s">
        <v>349</v>
      </c>
      <c r="C150" s="470" t="s">
        <v>357</v>
      </c>
      <c r="D150" s="469" t="s">
        <v>146</v>
      </c>
      <c r="E150" s="470" t="s">
        <v>701</v>
      </c>
      <c r="F150" s="969" t="s">
        <v>712</v>
      </c>
      <c r="G150" s="471" t="s">
        <v>123</v>
      </c>
      <c r="H150" s="472">
        <v>1</v>
      </c>
      <c r="I150" s="470" t="s">
        <v>707</v>
      </c>
      <c r="J150" s="469" t="s">
        <v>468</v>
      </c>
      <c r="K150" s="529">
        <v>150000000</v>
      </c>
      <c r="L150" s="474">
        <v>1</v>
      </c>
      <c r="M150" s="469" t="s">
        <v>46</v>
      </c>
      <c r="N150" s="469" t="s">
        <v>74</v>
      </c>
      <c r="O150" s="469" t="s">
        <v>21</v>
      </c>
      <c r="P150" s="469" t="s">
        <v>36</v>
      </c>
      <c r="Q150" s="469" t="s">
        <v>229</v>
      </c>
      <c r="R150" s="469" t="s">
        <v>182</v>
      </c>
      <c r="S150" s="469" t="s">
        <v>99</v>
      </c>
      <c r="T150" s="474">
        <v>1</v>
      </c>
      <c r="U150" s="475" t="str">
        <f t="shared" si="136"/>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50" s="485">
        <f t="shared" si="137"/>
        <v>150000000</v>
      </c>
      <c r="W150" s="477" t="s">
        <v>114</v>
      </c>
      <c r="X150" s="472">
        <v>0.25</v>
      </c>
      <c r="Y150" s="484" t="str">
        <f>+U150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Z150" s="537">
        <f>+V150*X150</f>
        <v>37500000</v>
      </c>
      <c r="AA150" s="479">
        <v>0</v>
      </c>
      <c r="AB150" s="479">
        <v>0</v>
      </c>
      <c r="AC150" s="478">
        <f t="shared" si="116"/>
        <v>0</v>
      </c>
      <c r="AD150" s="472">
        <f t="shared" si="138"/>
        <v>0</v>
      </c>
      <c r="AE150" s="472">
        <f t="shared" si="139"/>
        <v>0</v>
      </c>
      <c r="AF150" s="472">
        <f t="shared" si="140"/>
        <v>0</v>
      </c>
      <c r="AG150" s="483" t="s">
        <v>917</v>
      </c>
      <c r="AH150" s="472">
        <v>0.25</v>
      </c>
      <c r="AI150" s="484" t="str">
        <f>+U150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473">
        <v>37500000</v>
      </c>
      <c r="AK150" s="657" t="e">
        <f>(0/0)*AH150</f>
        <v>#DIV/0!</v>
      </c>
      <c r="AL150" s="648">
        <v>0</v>
      </c>
      <c r="AM150" s="472" t="e">
        <f t="shared" si="141"/>
        <v>#DIV/0!</v>
      </c>
      <c r="AN150" s="472">
        <f t="shared" si="142"/>
        <v>0</v>
      </c>
      <c r="AO150" s="472" t="e">
        <f t="shared" si="143"/>
        <v>#DIV/0!</v>
      </c>
      <c r="AP150" s="472">
        <f t="shared" si="144"/>
        <v>0</v>
      </c>
      <c r="AQ150" s="472"/>
      <c r="AR150" s="472">
        <v>0.25</v>
      </c>
      <c r="AS150" s="484" t="str">
        <f>+U150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T150" s="473">
        <v>37500000</v>
      </c>
      <c r="AU150" s="479"/>
      <c r="AV150" s="479"/>
      <c r="AW150" s="472">
        <f t="shared" si="145"/>
        <v>0</v>
      </c>
      <c r="AX150" s="472">
        <f t="shared" si="146"/>
        <v>0</v>
      </c>
      <c r="AY150" s="472" t="e">
        <f t="shared" si="147"/>
        <v>#DIV/0!</v>
      </c>
      <c r="AZ150" s="472">
        <f t="shared" si="148"/>
        <v>0</v>
      </c>
      <c r="BA150" s="472"/>
      <c r="BB150" s="472">
        <v>0.25</v>
      </c>
      <c r="BC150" s="484" t="str">
        <f>+U150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D150" s="473">
        <v>37500000</v>
      </c>
      <c r="BE150" s="479"/>
      <c r="BF150" s="479"/>
      <c r="BG150" s="472">
        <f t="shared" si="149"/>
        <v>0</v>
      </c>
      <c r="BH150" s="472">
        <f t="shared" si="150"/>
        <v>0</v>
      </c>
      <c r="BI150" s="472" t="e">
        <f t="shared" si="151"/>
        <v>#DIV/0!</v>
      </c>
      <c r="BJ150" s="472">
        <f t="shared" si="152"/>
        <v>0</v>
      </c>
      <c r="BK150" s="472"/>
      <c r="BL150" s="533">
        <f t="shared" si="128"/>
        <v>0</v>
      </c>
      <c r="BM150" s="533">
        <f t="shared" si="129"/>
        <v>0</v>
      </c>
      <c r="BN150" s="533" t="e">
        <f t="shared" si="130"/>
        <v>#DIV/0!</v>
      </c>
      <c r="BO150" s="533">
        <f t="shared" si="131"/>
        <v>0</v>
      </c>
      <c r="BP150" s="533">
        <f t="shared" si="132"/>
        <v>0</v>
      </c>
      <c r="BQ150" s="533">
        <f t="shared" si="133"/>
        <v>0</v>
      </c>
      <c r="BR150" s="533">
        <f t="shared" si="134"/>
        <v>0</v>
      </c>
      <c r="BS150" s="533">
        <f t="shared" si="135"/>
        <v>0</v>
      </c>
      <c r="BT150" s="480">
        <f t="shared" si="115"/>
        <v>0.58333333333333337</v>
      </c>
      <c r="BU150" s="481" t="str">
        <f t="shared" si="153"/>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V150" s="482">
        <f t="shared" si="114"/>
        <v>87500000</v>
      </c>
      <c r="BW150" s="479"/>
      <c r="BX150" s="479"/>
      <c r="BY150" s="479"/>
      <c r="BZ150" s="479"/>
      <c r="CA150" s="479"/>
      <c r="CB150" s="479"/>
      <c r="CC150" s="479"/>
    </row>
    <row r="151" spans="1:81" s="428" customFormat="1" ht="51" x14ac:dyDescent="0.25">
      <c r="A151" s="468">
        <v>11900</v>
      </c>
      <c r="B151" s="469" t="s">
        <v>349</v>
      </c>
      <c r="C151" s="470" t="s">
        <v>357</v>
      </c>
      <c r="D151" s="469" t="s">
        <v>146</v>
      </c>
      <c r="E151" s="470" t="s">
        <v>701</v>
      </c>
      <c r="F151" s="977"/>
      <c r="G151" s="471" t="s">
        <v>123</v>
      </c>
      <c r="H151" s="472">
        <v>1</v>
      </c>
      <c r="I151" s="470" t="s">
        <v>932</v>
      </c>
      <c r="J151" s="469" t="s">
        <v>1000</v>
      </c>
      <c r="K151" s="538">
        <f>1647456+61050000</f>
        <v>62697456</v>
      </c>
      <c r="L151" s="474">
        <v>1</v>
      </c>
      <c r="M151" s="469" t="s">
        <v>46</v>
      </c>
      <c r="N151" s="469" t="s">
        <v>74</v>
      </c>
      <c r="O151" s="469" t="s">
        <v>21</v>
      </c>
      <c r="P151" s="469" t="s">
        <v>36</v>
      </c>
      <c r="Q151" s="469" t="s">
        <v>229</v>
      </c>
      <c r="R151" s="469" t="s">
        <v>949</v>
      </c>
      <c r="S151" s="469" t="s">
        <v>99</v>
      </c>
      <c r="T151" s="474">
        <v>1</v>
      </c>
      <c r="U151" s="475" t="str">
        <f>+J151</f>
        <v>Otros gastos asociados a la representación judicial</v>
      </c>
      <c r="V151" s="539">
        <f>+K151</f>
        <v>62697456</v>
      </c>
      <c r="W151" s="477" t="s">
        <v>114</v>
      </c>
      <c r="X151" s="472">
        <v>0.25</v>
      </c>
      <c r="Y151" s="484" t="str">
        <f>+U151</f>
        <v>Otros gastos asociados a la representación judicial</v>
      </c>
      <c r="Z151" s="538">
        <f>+V151*X151</f>
        <v>15674364</v>
      </c>
      <c r="AA151" s="480">
        <f>+(AB151/Z151)*25%</f>
        <v>0.18489723091794985</v>
      </c>
      <c r="AB151" s="482">
        <v>11592586</v>
      </c>
      <c r="AC151" s="478">
        <f t="shared" ref="AC151" si="166">+(AA151/X151)</f>
        <v>0.7395889236717994</v>
      </c>
      <c r="AD151" s="472">
        <f t="shared" ref="AD151" si="167">+(AB151/Z151)</f>
        <v>0.7395889236717994</v>
      </c>
      <c r="AE151" s="472">
        <f t="shared" ref="AE151" si="168">+(AA151/T151)</f>
        <v>0.18489723091794985</v>
      </c>
      <c r="AF151" s="472">
        <f t="shared" ref="AF151" si="169">+(AB151/V151)</f>
        <v>0.18489723091794985</v>
      </c>
      <c r="AG151" s="483"/>
      <c r="AH151" s="472">
        <v>0.25</v>
      </c>
      <c r="AI151" s="484" t="str">
        <f>+U151</f>
        <v>Otros gastos asociados a la representación judicial</v>
      </c>
      <c r="AJ151" s="473">
        <f>+V151*AH151</f>
        <v>15674364</v>
      </c>
      <c r="AK151" s="687">
        <f>+(AL151/AJ151)*AH151</f>
        <v>5.9140230506322299E-2</v>
      </c>
      <c r="AL151" s="682">
        <v>3707942</v>
      </c>
      <c r="AM151" s="472">
        <f t="shared" ref="AM151" si="170">+(AK151/AH151)</f>
        <v>0.23656092202528919</v>
      </c>
      <c r="AN151" s="472">
        <f t="shared" ref="AN151" si="171">+(AL151/AJ151)</f>
        <v>0.23656092202528919</v>
      </c>
      <c r="AO151" s="472">
        <f t="shared" ref="AO151" si="172">+(AK151+AA151)/T151</f>
        <v>0.24403746142427216</v>
      </c>
      <c r="AP151" s="472">
        <f t="shared" ref="AP151" si="173">+(AL151+AB151)/V151</f>
        <v>0.24403746142427216</v>
      </c>
      <c r="AQ151" s="472"/>
      <c r="AR151" s="472">
        <v>0.25</v>
      </c>
      <c r="AS151" s="484" t="str">
        <f>+U151</f>
        <v>Otros gastos asociados a la representación judicial</v>
      </c>
      <c r="AT151" s="473">
        <v>30411864</v>
      </c>
      <c r="AU151" s="479"/>
      <c r="AV151" s="479"/>
      <c r="AW151" s="472">
        <f t="shared" ref="AW151" si="174">+(AU151/AR151)</f>
        <v>0</v>
      </c>
      <c r="AX151" s="472">
        <f t="shared" ref="AX151" si="175">+(AV151/AT151)</f>
        <v>0</v>
      </c>
      <c r="AY151" s="472">
        <f t="shared" ref="AY151" si="176">+(AK151+AA151+AU151)/T151</f>
        <v>0.24403746142427216</v>
      </c>
      <c r="AZ151" s="472">
        <f t="shared" ref="AZ151" si="177">+(AL151+AB151+AV151)/V151</f>
        <v>0.24403746142427216</v>
      </c>
      <c r="BA151" s="472"/>
      <c r="BB151" s="472">
        <v>0.25</v>
      </c>
      <c r="BC151" s="484" t="str">
        <f>+U151</f>
        <v>Otros gastos asociados a la representación judicial</v>
      </c>
      <c r="BD151" s="473">
        <v>30411864</v>
      </c>
      <c r="BE151" s="479"/>
      <c r="BF151" s="479"/>
      <c r="BG151" s="472">
        <f t="shared" ref="BG151" si="178">+(BE151/BB151)</f>
        <v>0</v>
      </c>
      <c r="BH151" s="472">
        <f t="shared" ref="BH151" si="179">+(BF151/BD151)</f>
        <v>0</v>
      </c>
      <c r="BI151" s="472">
        <f t="shared" ref="BI151" si="180">+(AK151+AA151+AU151+BE151)/T151</f>
        <v>0.24403746142427216</v>
      </c>
      <c r="BJ151" s="472">
        <f t="shared" ref="BJ151" si="181">+(AL151+AB151+AV151+BF151)/V151</f>
        <v>0.24403746142427216</v>
      </c>
      <c r="BK151" s="472"/>
      <c r="BL151" s="533">
        <f t="shared" ref="BL151" si="182">IF(AND(X151=0,AA151=0),"No Prog ni Ejec",IF(X151=0,CONCATENATE("No Prog, Ejec=  ",AA151),AA151/X151))</f>
        <v>0.7395889236717994</v>
      </c>
      <c r="BM151" s="533">
        <f t="shared" ref="BM151" si="183">IF(AND(Z151=0,AB151=0),"No Prog ni Ejec",IF(Z151=0,CONCATENATE("No Prog, Ejec=  ",AB151),AB151/Z151))</f>
        <v>0.7395889236717994</v>
      </c>
      <c r="BN151" s="533">
        <f t="shared" ref="BN151" si="184">IF(AND(AH151=0,AK151=0),"No Prog ni Ejec",IF(AH151=0,CONCATENATE("No Prog, Ejec=  ",AK151),AK151/AH151))</f>
        <v>0.23656092202528919</v>
      </c>
      <c r="BO151" s="533">
        <f t="shared" ref="BO151" si="185">IF(AND(AJ151=0,AL151=0),"No Prog ni Ejec",IF(AJ151=0,CONCATENATE("No Prog, Ejec=  ",AL151),AL151/AJ151))</f>
        <v>0.23656092202528919</v>
      </c>
      <c r="BP151" s="533">
        <f t="shared" ref="BP151" si="186">IF(AND(AR151=0,AU151=0),"No Prog ni Ejec",IF(AR151=0,CONCATENATE("No Prog, Ejec=  ",AU151),AU151/AR151))</f>
        <v>0</v>
      </c>
      <c r="BQ151" s="533">
        <f t="shared" ref="BQ151" si="187">IF(AND(AT151=0,AV151=0),"No Prog ni Ejec",IF(AT151=0,CONCATENATE("No Prog, Ejec=  ",AV151),AV151/AT151))</f>
        <v>0</v>
      </c>
      <c r="BR151" s="533">
        <f t="shared" ref="BR151" si="188">IF(AND(BB151=0,BE151=0),"No Prog ni Ejec",IF(BB151=0,CONCATENATE("No Prog, Ejec=  ",BE151),BE151/BB151))</f>
        <v>0</v>
      </c>
      <c r="BS151" s="533">
        <f t="shared" ref="BS151" si="189">IF(AND(BD151=0,BF151=0),"No Prog ni Ejec",IF(BD151=0,CONCATENATE("No Prog, Ejec=  ",BF151),BF151/BD151))</f>
        <v>0</v>
      </c>
      <c r="BT151" s="480">
        <f t="shared" si="115"/>
        <v>0.58333333333333337</v>
      </c>
      <c r="BU151" s="481" t="str">
        <f>+U151</f>
        <v>Otros gastos asociados a la representación judicial</v>
      </c>
      <c r="BV151" s="482">
        <f t="shared" si="114"/>
        <v>41486016</v>
      </c>
      <c r="BW151" s="479"/>
      <c r="BX151" s="479"/>
      <c r="BY151" s="479"/>
      <c r="BZ151" s="479"/>
      <c r="CA151" s="479"/>
      <c r="CB151" s="479"/>
      <c r="CC151" s="479"/>
    </row>
    <row r="152" spans="1:81" s="428" customFormat="1" ht="153" x14ac:dyDescent="0.25">
      <c r="A152" s="468">
        <v>11900</v>
      </c>
      <c r="B152" s="469" t="s">
        <v>349</v>
      </c>
      <c r="C152" s="470" t="s">
        <v>357</v>
      </c>
      <c r="D152" s="469" t="s">
        <v>146</v>
      </c>
      <c r="E152" s="470" t="s">
        <v>701</v>
      </c>
      <c r="F152" s="970"/>
      <c r="G152" s="471" t="s">
        <v>123</v>
      </c>
      <c r="H152" s="472">
        <v>1</v>
      </c>
      <c r="I152" s="470" t="s">
        <v>953</v>
      </c>
      <c r="J152" s="469" t="s">
        <v>933</v>
      </c>
      <c r="K152" s="538">
        <v>199920000</v>
      </c>
      <c r="L152" s="474">
        <v>1</v>
      </c>
      <c r="M152" s="469" t="s">
        <v>46</v>
      </c>
      <c r="N152" s="469" t="s">
        <v>74</v>
      </c>
      <c r="O152" s="469" t="s">
        <v>21</v>
      </c>
      <c r="P152" s="469" t="s">
        <v>36</v>
      </c>
      <c r="Q152" s="469" t="s">
        <v>229</v>
      </c>
      <c r="R152" s="469" t="s">
        <v>182</v>
      </c>
      <c r="S152" s="469" t="s">
        <v>99</v>
      </c>
      <c r="T152" s="474">
        <v>1</v>
      </c>
      <c r="U152" s="475"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V152" s="539">
        <f>+K152</f>
        <v>199920000</v>
      </c>
      <c r="W152" s="477" t="s">
        <v>114</v>
      </c>
      <c r="X152" s="472">
        <f>+Z152/V152</f>
        <v>0.29761904761904762</v>
      </c>
      <c r="Y152" s="484"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Z152" s="538">
        <v>59500000</v>
      </c>
      <c r="AA152" s="480">
        <f>+(AB152/Z152)*30%</f>
        <v>0.3</v>
      </c>
      <c r="AB152" s="482">
        <v>59500000</v>
      </c>
      <c r="AC152" s="478">
        <f>+(AA152/X152)</f>
        <v>1.008</v>
      </c>
      <c r="AD152" s="472">
        <f t="shared" ref="AD152" si="190">+(AB152/Z152)</f>
        <v>1</v>
      </c>
      <c r="AE152" s="472">
        <f t="shared" ref="AE152" si="191">+(AA152/T152)</f>
        <v>0.3</v>
      </c>
      <c r="AF152" s="472">
        <f t="shared" ref="AF152" si="192">+(AB152/V152)</f>
        <v>0.29761904761904762</v>
      </c>
      <c r="AG152" s="483"/>
      <c r="AH152" s="472">
        <v>0</v>
      </c>
      <c r="AI152" s="484"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J152" s="473">
        <v>0</v>
      </c>
      <c r="AK152" s="658" t="e">
        <f>+(AL152/AJ152)*AH152</f>
        <v>#DIV/0!</v>
      </c>
      <c r="AL152" s="648">
        <v>0</v>
      </c>
      <c r="AM152" s="472" t="e">
        <f t="shared" ref="AM152" si="193">+(AK152/AH152)</f>
        <v>#DIV/0!</v>
      </c>
      <c r="AN152" s="472" t="e">
        <f t="shared" ref="AN152" si="194">+(AL152/AJ152)</f>
        <v>#DIV/0!</v>
      </c>
      <c r="AO152" s="472" t="e">
        <f t="shared" ref="AO152" si="195">+(AK152+AA152)/T152</f>
        <v>#DIV/0!</v>
      </c>
      <c r="AP152" s="472">
        <f t="shared" ref="AP152" si="196">+(AL152+AB152)/V152</f>
        <v>0.29761904761904762</v>
      </c>
      <c r="AQ152" s="472"/>
      <c r="AR152" s="472">
        <f>+AT152/V152</f>
        <v>0.29761904761904762</v>
      </c>
      <c r="AS152" s="484"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T152" s="473">
        <f>59500000</f>
        <v>59500000</v>
      </c>
      <c r="AU152" s="479"/>
      <c r="AV152" s="479"/>
      <c r="AW152" s="472">
        <f t="shared" ref="AW152" si="197">+(AU152/AR152)</f>
        <v>0</v>
      </c>
      <c r="AX152" s="472">
        <f t="shared" ref="AX152" si="198">+(AV152/AT152)</f>
        <v>0</v>
      </c>
      <c r="AY152" s="472" t="e">
        <f t="shared" ref="AY152" si="199">+(AK152+AA152+AU152)/T152</f>
        <v>#DIV/0!</v>
      </c>
      <c r="AZ152" s="472">
        <f t="shared" ref="AZ152" si="200">+(AL152+AB152+AV152)/V152</f>
        <v>0.29761904761904762</v>
      </c>
      <c r="BA152" s="472"/>
      <c r="BB152" s="472">
        <v>0.4</v>
      </c>
      <c r="BC152" s="484"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D152" s="473">
        <f>21420000+59500000</f>
        <v>80920000</v>
      </c>
      <c r="BE152" s="479"/>
      <c r="BF152" s="479"/>
      <c r="BG152" s="472">
        <f t="shared" ref="BG152" si="201">+(BE152/BB152)</f>
        <v>0</v>
      </c>
      <c r="BH152" s="472">
        <f t="shared" ref="BH152" si="202">+(BF152/BD152)</f>
        <v>0</v>
      </c>
      <c r="BI152" s="472" t="e">
        <f t="shared" ref="BI152" si="203">+(AK152+AA152+AU152+BE152)/T152</f>
        <v>#DIV/0!</v>
      </c>
      <c r="BJ152" s="472">
        <f t="shared" ref="BJ152" si="204">+(AL152+AB152+AV152+BF152)/V152</f>
        <v>0.29761904761904762</v>
      </c>
      <c r="BK152" s="472"/>
      <c r="BL152" s="533">
        <f t="shared" ref="BL152" si="205">IF(AND(X152=0,AA152=0),"No Prog ni Ejec",IF(X152=0,CONCATENATE("No Prog, Ejec=  ",AA152),AA152/X152))</f>
        <v>1.008</v>
      </c>
      <c r="BM152" s="533">
        <f t="shared" ref="BM152" si="206">IF(AND(Z152=0,AB152=0),"No Prog ni Ejec",IF(Z152=0,CONCATENATE("No Prog, Ejec=  ",AB152),AB152/Z152))</f>
        <v>1</v>
      </c>
      <c r="BN152" s="533" t="e">
        <f t="shared" ref="BN152" si="207">IF(AND(AH152=0,AK152=0),"No Prog ni Ejec",IF(AH152=0,CONCATENATE("No Prog, Ejec=  ",AK152),AK152/AH152))</f>
        <v>#DIV/0!</v>
      </c>
      <c r="BO152" s="533" t="str">
        <f t="shared" ref="BO152" si="208">IF(AND(AJ152=0,AL152=0),"No Prog ni Ejec",IF(AJ152=0,CONCATENATE("No Prog, Ejec=  ",AL152),AL152/AJ152))</f>
        <v>No Prog ni Ejec</v>
      </c>
      <c r="BP152" s="533">
        <f t="shared" ref="BP152" si="209">IF(AND(AR152=0,AU152=0),"No Prog ni Ejec",IF(AR152=0,CONCATENATE("No Prog, Ejec=  ",AU152),AU152/AR152))</f>
        <v>0</v>
      </c>
      <c r="BQ152" s="533">
        <f t="shared" ref="BQ152" si="210">IF(AND(AT152=0,AV152=0),"No Prog ni Ejec",IF(AT152=0,CONCATENATE("No Prog, Ejec=  ",AV152),AV152/AT152))</f>
        <v>0</v>
      </c>
      <c r="BR152" s="533">
        <f t="shared" ref="BR152" si="211">IF(AND(BB152=0,BE152=0),"No Prog ni Ejec",IF(BB152=0,CONCATENATE("No Prog, Ejec=  ",BE152),BE152/BB152))</f>
        <v>0</v>
      </c>
      <c r="BS152" s="533">
        <f t="shared" ref="BS152" si="212">IF(AND(BD152=0,BF152=0),"No Prog ni Ejec",IF(BD152=0,CONCATENATE("No Prog, Ejec=  ",BF152),BF152/BD152))</f>
        <v>0</v>
      </c>
      <c r="BT152" s="480">
        <f t="shared" si="115"/>
        <v>0.3968253968253968</v>
      </c>
      <c r="BU152" s="481"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V152" s="482">
        <f t="shared" si="114"/>
        <v>79333333.333333328</v>
      </c>
      <c r="BW152" s="479"/>
      <c r="BX152" s="479"/>
      <c r="BY152" s="479"/>
      <c r="BZ152" s="479"/>
      <c r="CA152" s="479"/>
      <c r="CB152" s="479"/>
      <c r="CC152" s="479"/>
    </row>
    <row r="153" spans="1:81" s="428" customFormat="1" ht="178.5" x14ac:dyDescent="0.25">
      <c r="A153" s="468">
        <v>11900</v>
      </c>
      <c r="B153" s="469" t="s">
        <v>349</v>
      </c>
      <c r="C153" s="470" t="s">
        <v>357</v>
      </c>
      <c r="D153" s="469" t="s">
        <v>146</v>
      </c>
      <c r="E153" s="470" t="s">
        <v>721</v>
      </c>
      <c r="F153" s="469" t="s">
        <v>709</v>
      </c>
      <c r="G153" s="471" t="s">
        <v>123</v>
      </c>
      <c r="H153" s="472">
        <v>1</v>
      </c>
      <c r="I153" s="470" t="s">
        <v>708</v>
      </c>
      <c r="J153" s="469" t="s">
        <v>374</v>
      </c>
      <c r="K153" s="473">
        <v>144328579</v>
      </c>
      <c r="L153" s="474">
        <v>1</v>
      </c>
      <c r="M153" s="469" t="s">
        <v>46</v>
      </c>
      <c r="N153" s="469" t="s">
        <v>74</v>
      </c>
      <c r="O153" s="469" t="s">
        <v>21</v>
      </c>
      <c r="P153" s="469" t="s">
        <v>36</v>
      </c>
      <c r="Q153" s="469" t="s">
        <v>229</v>
      </c>
      <c r="R153" s="469" t="s">
        <v>182</v>
      </c>
      <c r="S153" s="469" t="s">
        <v>99</v>
      </c>
      <c r="T153" s="474">
        <v>1</v>
      </c>
      <c r="U153" s="475" t="str">
        <f t="shared" si="136"/>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53" s="476">
        <f t="shared" si="137"/>
        <v>144328579</v>
      </c>
      <c r="W153" s="477" t="s">
        <v>114</v>
      </c>
      <c r="X153" s="472">
        <v>0.25</v>
      </c>
      <c r="Y153" s="484" t="str">
        <f>+U153</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Z153" s="473">
        <f>+V153*X153</f>
        <v>36082144.75</v>
      </c>
      <c r="AA153" s="479">
        <v>0</v>
      </c>
      <c r="AB153" s="482">
        <v>0</v>
      </c>
      <c r="AC153" s="478">
        <f t="shared" si="116"/>
        <v>0</v>
      </c>
      <c r="AD153" s="472">
        <f t="shared" si="138"/>
        <v>0</v>
      </c>
      <c r="AE153" s="472">
        <f t="shared" si="139"/>
        <v>0</v>
      </c>
      <c r="AF153" s="472">
        <f t="shared" si="140"/>
        <v>0</v>
      </c>
      <c r="AG153" s="483"/>
      <c r="AH153" s="472">
        <v>0.25</v>
      </c>
      <c r="AI153" s="484" t="str">
        <f>+U153</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3" s="473">
        <v>36082144.75</v>
      </c>
      <c r="AK153" s="657" t="e">
        <f>(0/0)*AH153</f>
        <v>#DIV/0!</v>
      </c>
      <c r="AL153" s="648">
        <v>0</v>
      </c>
      <c r="AM153" s="472" t="e">
        <f>+(AK153/AH153)</f>
        <v>#DIV/0!</v>
      </c>
      <c r="AN153" s="472">
        <f>+(AL153/AJ153)</f>
        <v>0</v>
      </c>
      <c r="AO153" s="472" t="e">
        <f>+(AK153+AA153)/T153</f>
        <v>#DIV/0!</v>
      </c>
      <c r="AP153" s="472">
        <f>+(AL153+AB153)/V153</f>
        <v>0</v>
      </c>
      <c r="AQ153" s="472"/>
      <c r="AR153" s="472">
        <v>0.25</v>
      </c>
      <c r="AS153" s="484" t="str">
        <f>+U153</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T153" s="473">
        <v>36082144.75</v>
      </c>
      <c r="AU153" s="479"/>
      <c r="AV153" s="479"/>
      <c r="AW153" s="472">
        <f t="shared" si="145"/>
        <v>0</v>
      </c>
      <c r="AX153" s="472">
        <f t="shared" si="146"/>
        <v>0</v>
      </c>
      <c r="AY153" s="472" t="e">
        <f t="shared" si="147"/>
        <v>#DIV/0!</v>
      </c>
      <c r="AZ153" s="472">
        <f t="shared" si="148"/>
        <v>0</v>
      </c>
      <c r="BA153" s="472"/>
      <c r="BB153" s="472">
        <v>0.25</v>
      </c>
      <c r="BC153" s="484" t="str">
        <f>+U153</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D153" s="473">
        <v>36082144.75</v>
      </c>
      <c r="BE153" s="479"/>
      <c r="BF153" s="479"/>
      <c r="BG153" s="472">
        <f t="shared" si="149"/>
        <v>0</v>
      </c>
      <c r="BH153" s="472">
        <f t="shared" si="150"/>
        <v>0</v>
      </c>
      <c r="BI153" s="472" t="e">
        <f t="shared" si="151"/>
        <v>#DIV/0!</v>
      </c>
      <c r="BJ153" s="472">
        <f t="shared" si="152"/>
        <v>0</v>
      </c>
      <c r="BK153" s="472"/>
      <c r="BL153" s="533">
        <f t="shared" si="128"/>
        <v>0</v>
      </c>
      <c r="BM153" s="533">
        <f t="shared" si="129"/>
        <v>0</v>
      </c>
      <c r="BN153" s="533" t="e">
        <f t="shared" si="130"/>
        <v>#DIV/0!</v>
      </c>
      <c r="BO153" s="533">
        <f t="shared" si="131"/>
        <v>0</v>
      </c>
      <c r="BP153" s="533">
        <f t="shared" si="132"/>
        <v>0</v>
      </c>
      <c r="BQ153" s="533">
        <f t="shared" si="133"/>
        <v>0</v>
      </c>
      <c r="BR153" s="533">
        <f t="shared" si="134"/>
        <v>0</v>
      </c>
      <c r="BS153" s="533">
        <f t="shared" si="135"/>
        <v>0</v>
      </c>
      <c r="BT153" s="480">
        <f t="shared" si="115"/>
        <v>0.58333333333333337</v>
      </c>
      <c r="BU153" s="481" t="str">
        <f t="shared" si="153"/>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V153" s="482">
        <f t="shared" si="114"/>
        <v>84191671.083333328</v>
      </c>
      <c r="BW153" s="479"/>
      <c r="BX153" s="479"/>
      <c r="BY153" s="479"/>
      <c r="BZ153" s="479"/>
      <c r="CA153" s="479"/>
      <c r="CB153" s="479"/>
      <c r="CC153" s="479"/>
    </row>
    <row r="154" spans="1:81" s="428" customFormat="1" ht="102" x14ac:dyDescent="0.25">
      <c r="A154" s="540">
        <v>11900</v>
      </c>
      <c r="B154" s="541" t="s">
        <v>349</v>
      </c>
      <c r="C154" s="542" t="s">
        <v>357</v>
      </c>
      <c r="D154" s="541" t="s">
        <v>146</v>
      </c>
      <c r="E154" s="542" t="s">
        <v>710</v>
      </c>
      <c r="F154" s="541" t="s">
        <v>713</v>
      </c>
      <c r="G154" s="543" t="s">
        <v>123</v>
      </c>
      <c r="H154" s="544">
        <v>1</v>
      </c>
      <c r="I154" s="542" t="s">
        <v>711</v>
      </c>
      <c r="J154" s="541" t="s">
        <v>375</v>
      </c>
      <c r="K154" s="545">
        <v>163716856</v>
      </c>
      <c r="L154" s="546">
        <v>1</v>
      </c>
      <c r="M154" s="541" t="s">
        <v>46</v>
      </c>
      <c r="N154" s="541" t="s">
        <v>74</v>
      </c>
      <c r="O154" s="541" t="s">
        <v>21</v>
      </c>
      <c r="P154" s="541" t="s">
        <v>36</v>
      </c>
      <c r="Q154" s="541" t="s">
        <v>229</v>
      </c>
      <c r="R154" s="541" t="s">
        <v>714</v>
      </c>
      <c r="S154" s="541" t="s">
        <v>99</v>
      </c>
      <c r="T154" s="546">
        <v>1</v>
      </c>
      <c r="U154" s="547" t="str">
        <f t="shared" si="136"/>
        <v>Ejercer la representación judicial en los procesos penales en que sea parte la Administradora de los Recursos del Sistema General de Seguridad Social en Salud – Administradora de los Recursos del Sistema General de Seguridad Social en Salud - ADRES.</v>
      </c>
      <c r="V154" s="548">
        <f t="shared" si="137"/>
        <v>163716856</v>
      </c>
      <c r="W154" s="549" t="s">
        <v>114</v>
      </c>
      <c r="X154" s="544">
        <v>0.25</v>
      </c>
      <c r="Y154" s="1376" t="str">
        <f>+U154</f>
        <v>Ejercer la representación judicial en los procesos penales en que sea parte la Administradora de los Recursos del Sistema General de Seguridad Social en Salud – Administradora de los Recursos del Sistema General de Seguridad Social en Salud - ADRES.</v>
      </c>
      <c r="Z154" s="545">
        <f>+X154*V154</f>
        <v>40929214</v>
      </c>
      <c r="AA154" s="553">
        <f>19/19*0.25</f>
        <v>0.25</v>
      </c>
      <c r="AB154" s="555">
        <v>18286302</v>
      </c>
      <c r="AC154" s="550">
        <f t="shared" si="116"/>
        <v>1</v>
      </c>
      <c r="AD154" s="544">
        <f t="shared" si="138"/>
        <v>0.44677872387190237</v>
      </c>
      <c r="AE154" s="544">
        <f t="shared" si="139"/>
        <v>0.25</v>
      </c>
      <c r="AF154" s="544">
        <f t="shared" si="140"/>
        <v>0.11169468096797559</v>
      </c>
      <c r="AG154" s="551"/>
      <c r="AH154" s="544">
        <v>0.25</v>
      </c>
      <c r="AI154" s="1376" t="str">
        <f>+U154</f>
        <v>Ejercer la representación judicial en los procesos penales en que sea parte la Administradora de los Recursos del Sistema General de Seguridad Social en Salud – Administradora de los Recursos del Sistema General de Seguridad Social en Salud - ADRES.</v>
      </c>
      <c r="AJ154" s="545">
        <v>40929214</v>
      </c>
      <c r="AK154" s="657">
        <f>(17/53)*AH153</f>
        <v>8.0188679245283015E-2</v>
      </c>
      <c r="AL154" s="616">
        <v>54572288</v>
      </c>
      <c r="AM154" s="544">
        <f t="shared" si="141"/>
        <v>0.32075471698113206</v>
      </c>
      <c r="AN154" s="544">
        <f t="shared" si="142"/>
        <v>1.3333333984864699</v>
      </c>
      <c r="AO154" s="544">
        <f t="shared" si="143"/>
        <v>0.330188679245283</v>
      </c>
      <c r="AP154" s="544">
        <f t="shared" si="144"/>
        <v>0.44502803058959306</v>
      </c>
      <c r="AQ154" s="544"/>
      <c r="AR154" s="544">
        <v>0.25</v>
      </c>
      <c r="AS154" s="1376" t="str">
        <f>+U154</f>
        <v>Ejercer la representación judicial en los procesos penales en que sea parte la Administradora de los Recursos del Sistema General de Seguridad Social en Salud – Administradora de los Recursos del Sistema General de Seguridad Social en Salud - ADRES.</v>
      </c>
      <c r="AT154" s="545">
        <v>40929214</v>
      </c>
      <c r="AU154" s="552"/>
      <c r="AV154" s="552"/>
      <c r="AW154" s="544">
        <f t="shared" si="145"/>
        <v>0</v>
      </c>
      <c r="AX154" s="544">
        <f t="shared" si="146"/>
        <v>0</v>
      </c>
      <c r="AY154" s="544">
        <f t="shared" si="147"/>
        <v>0.330188679245283</v>
      </c>
      <c r="AZ154" s="544">
        <f t="shared" si="148"/>
        <v>0.44502803058959306</v>
      </c>
      <c r="BA154" s="544"/>
      <c r="BB154" s="544">
        <v>0.25</v>
      </c>
      <c r="BC154" s="1376" t="str">
        <f>+U154</f>
        <v>Ejercer la representación judicial en los procesos penales en que sea parte la Administradora de los Recursos del Sistema General de Seguridad Social en Salud – Administradora de los Recursos del Sistema General de Seguridad Social en Salud - ADRES.</v>
      </c>
      <c r="BD154" s="545">
        <v>40929214</v>
      </c>
      <c r="BE154" s="552"/>
      <c r="BF154" s="552"/>
      <c r="BG154" s="544">
        <f t="shared" si="149"/>
        <v>0</v>
      </c>
      <c r="BH154" s="544">
        <f t="shared" si="150"/>
        <v>0</v>
      </c>
      <c r="BI154" s="544">
        <f t="shared" si="151"/>
        <v>0.330188679245283</v>
      </c>
      <c r="BJ154" s="544">
        <f t="shared" si="152"/>
        <v>0.44502803058959306</v>
      </c>
      <c r="BK154" s="544"/>
      <c r="BL154" s="577">
        <f t="shared" si="128"/>
        <v>1</v>
      </c>
      <c r="BM154" s="577">
        <f t="shared" si="129"/>
        <v>0.44677872387190237</v>
      </c>
      <c r="BN154" s="577">
        <f t="shared" si="130"/>
        <v>0.32075471698113206</v>
      </c>
      <c r="BO154" s="577">
        <f t="shared" si="131"/>
        <v>1.3333333984864699</v>
      </c>
      <c r="BP154" s="577">
        <f t="shared" si="132"/>
        <v>0</v>
      </c>
      <c r="BQ154" s="577">
        <f t="shared" si="133"/>
        <v>0</v>
      </c>
      <c r="BR154" s="577">
        <f t="shared" si="134"/>
        <v>0</v>
      </c>
      <c r="BS154" s="577">
        <f t="shared" si="135"/>
        <v>0</v>
      </c>
      <c r="BT154" s="553">
        <f t="shared" si="115"/>
        <v>0.58333333333333337</v>
      </c>
      <c r="BU154" s="554" t="str">
        <f t="shared" si="153"/>
        <v>Ejercer la representación judicial en los procesos penales en que sea parte la Administradora de los Recursos del Sistema General de Seguridad Social en Salud – Administradora de los Recursos del Sistema General de Seguridad Social en Salud - ADRES.</v>
      </c>
      <c r="BV154" s="555">
        <f t="shared" si="114"/>
        <v>95501499.333333328</v>
      </c>
      <c r="BW154" s="552"/>
      <c r="BX154" s="552"/>
      <c r="BY154" s="552"/>
      <c r="BZ154" s="552"/>
      <c r="CA154" s="552"/>
      <c r="CB154" s="552"/>
      <c r="CC154" s="479"/>
    </row>
    <row r="155" spans="1:81" s="428" customFormat="1" ht="89.25" x14ac:dyDescent="0.25">
      <c r="A155" s="470">
        <v>11700</v>
      </c>
      <c r="B155" s="469" t="s">
        <v>29</v>
      </c>
      <c r="C155" s="470" t="s">
        <v>328</v>
      </c>
      <c r="D155" s="469" t="s">
        <v>256</v>
      </c>
      <c r="E155" s="470" t="s">
        <v>918</v>
      </c>
      <c r="F155" s="469" t="s">
        <v>919</v>
      </c>
      <c r="G155" s="471" t="s">
        <v>123</v>
      </c>
      <c r="H155" s="472">
        <v>1</v>
      </c>
      <c r="I155" s="470" t="s">
        <v>920</v>
      </c>
      <c r="J155" s="469" t="s">
        <v>921</v>
      </c>
      <c r="K155" s="473">
        <f>59500000+238000000-119000000</f>
        <v>178500000</v>
      </c>
      <c r="L155" s="472">
        <v>1</v>
      </c>
      <c r="M155" s="469" t="s">
        <v>46</v>
      </c>
      <c r="N155" s="469" t="s">
        <v>68</v>
      </c>
      <c r="O155" s="469" t="s">
        <v>37</v>
      </c>
      <c r="P155" s="469" t="s">
        <v>38</v>
      </c>
      <c r="Q155" s="469" t="s">
        <v>217</v>
      </c>
      <c r="R155" s="469" t="s">
        <v>379</v>
      </c>
      <c r="S155" s="469" t="s">
        <v>104</v>
      </c>
      <c r="T155" s="472">
        <v>1</v>
      </c>
      <c r="U155" s="475" t="str">
        <f>+J155</f>
        <v>Asesoría Jurídica y acompañamiento para la entidad en relación a las actuaciones administrativas</v>
      </c>
      <c r="V155" s="476">
        <f>+K155</f>
        <v>178500000</v>
      </c>
      <c r="W155" s="477" t="s">
        <v>114</v>
      </c>
      <c r="X155" s="472">
        <v>0.2</v>
      </c>
      <c r="Y155" s="484" t="str">
        <f>+U155</f>
        <v>Asesoría Jurídica y acompañamiento para la entidad en relación a las actuaciones administrativas</v>
      </c>
      <c r="Z155" s="473">
        <v>59500000</v>
      </c>
      <c r="AA155" s="570">
        <f>(AB155/Z155)*20%</f>
        <v>0.2</v>
      </c>
      <c r="AB155" s="524">
        <v>59500000</v>
      </c>
      <c r="AC155" s="478">
        <f t="shared" ref="AC155" si="213">+(AA155/X155)</f>
        <v>1</v>
      </c>
      <c r="AD155" s="472">
        <f t="shared" ref="AD155" si="214">+(AB155/Z155)</f>
        <v>1</v>
      </c>
      <c r="AE155" s="472">
        <f t="shared" ref="AE155" si="215">+(AA155/T155)</f>
        <v>0.2</v>
      </c>
      <c r="AF155" s="472">
        <f t="shared" ref="AF155" si="216">+(AB155/V155)</f>
        <v>0.33333333333333331</v>
      </c>
      <c r="AG155" s="479"/>
      <c r="AH155" s="472">
        <v>0.8</v>
      </c>
      <c r="AI155" s="484" t="str">
        <f>+U155</f>
        <v>Asesoría Jurídica y acompañamiento para la entidad en relación a las actuaciones administrativas</v>
      </c>
      <c r="AJ155" s="473">
        <f>238000000-119000000</f>
        <v>119000000</v>
      </c>
      <c r="AK155" s="773">
        <f>+(AL155/AJ155)*AH155</f>
        <v>0.8</v>
      </c>
      <c r="AL155" s="682">
        <v>119000000</v>
      </c>
      <c r="AM155" s="472">
        <f t="shared" ref="AM155" si="217">+(AK155/AH155)</f>
        <v>1</v>
      </c>
      <c r="AN155" s="472">
        <f t="shared" ref="AN155" si="218">+(AL155/AJ155)</f>
        <v>1</v>
      </c>
      <c r="AO155" s="472">
        <f t="shared" ref="AO155" si="219">+(AK155+AA155)/T155</f>
        <v>1</v>
      </c>
      <c r="AP155" s="472">
        <f t="shared" ref="AP155" si="220">+(AL155+AB155)/V155</f>
        <v>1</v>
      </c>
      <c r="AQ155" s="768" t="s">
        <v>1144</v>
      </c>
      <c r="AR155" s="472">
        <v>0</v>
      </c>
      <c r="AS155" s="484" t="str">
        <f>+U155</f>
        <v>Asesoría Jurídica y acompañamiento para la entidad en relación a las actuaciones administrativas</v>
      </c>
      <c r="AT155" s="473">
        <v>0</v>
      </c>
      <c r="AU155" s="479"/>
      <c r="AV155" s="479"/>
      <c r="AW155" s="472" t="e">
        <f t="shared" ref="AW155" si="221">+(AU155/AR155)</f>
        <v>#DIV/0!</v>
      </c>
      <c r="AX155" s="472" t="e">
        <f t="shared" ref="AX155" si="222">+(AV155/AT155)</f>
        <v>#DIV/0!</v>
      </c>
      <c r="AY155" s="472">
        <f t="shared" ref="AY155" si="223">+(AK155+AA155+AU155)/T155</f>
        <v>1</v>
      </c>
      <c r="AZ155" s="472">
        <f t="shared" ref="AZ155" si="224">+(AL155+AB155+AV155)/V155</f>
        <v>1</v>
      </c>
      <c r="BA155" s="472"/>
      <c r="BB155" s="472">
        <v>0</v>
      </c>
      <c r="BC155" s="484" t="str">
        <f>+U155</f>
        <v>Asesoría Jurídica y acompañamiento para la entidad en relación a las actuaciones administrativas</v>
      </c>
      <c r="BD155" s="473">
        <v>0</v>
      </c>
      <c r="BE155" s="479"/>
      <c r="BF155" s="479"/>
      <c r="BG155" s="472" t="e">
        <f t="shared" ref="BG155" si="225">+(BE155/BB155)</f>
        <v>#DIV/0!</v>
      </c>
      <c r="BH155" s="472" t="e">
        <f t="shared" ref="BH155" si="226">+(BF155/BD155)</f>
        <v>#DIV/0!</v>
      </c>
      <c r="BI155" s="472">
        <f t="shared" ref="BI155" si="227">+(AK155+AA155+AU155+BE155)/T155</f>
        <v>1</v>
      </c>
      <c r="BJ155" s="472">
        <f t="shared" ref="BJ155" si="228">+(AL155+AB155+AV155+BF155)/V155</f>
        <v>1</v>
      </c>
      <c r="BK155" s="472"/>
      <c r="BL155" s="533">
        <f t="shared" ref="BL155" si="229">IF(AND(X155=0,AA155=0),"No Prog ni Ejec",IF(X155=0,CONCATENATE("No Prog, Ejec=  ",AA155),AA155/X155))</f>
        <v>1</v>
      </c>
      <c r="BM155" s="533">
        <f t="shared" ref="BM155" si="230">IF(AND(Z155=0,AB155=0),"No Prog ni Ejec",IF(Z155=0,CONCATENATE("No Prog, Ejec=  ",AB155),AB155/Z155))</f>
        <v>1</v>
      </c>
      <c r="BN155" s="533">
        <f t="shared" ref="BN155" si="231">IF(AND(AH155=0,AK155=0),"No Prog ni Ejec",IF(AH155=0,CONCATENATE("No Prog, Ejec=  ",AK155),AK155/AH155))</f>
        <v>1</v>
      </c>
      <c r="BO155" s="533">
        <f t="shared" ref="BO155" si="232">IF(AND(AJ155=0,AL155=0),"No Prog ni Ejec",IF(AJ155=0,CONCATENATE("No Prog, Ejec=  ",AL155),AL155/AJ155))</f>
        <v>1</v>
      </c>
      <c r="BP155" s="533" t="str">
        <f t="shared" ref="BP155" si="233">IF(AND(AR155=0,AU155=0),"No Prog ni Ejec",IF(AR155=0,CONCATENATE("No Prog, Ejec=  ",AU155),AU155/AR155))</f>
        <v>No Prog ni Ejec</v>
      </c>
      <c r="BQ155" s="533" t="str">
        <f t="shared" ref="BQ155" si="234">IF(AND(AT155=0,AV155=0),"No Prog ni Ejec",IF(AT155=0,CONCATENATE("No Prog, Ejec=  ",AV155),AV155/AT155))</f>
        <v>No Prog ni Ejec</v>
      </c>
      <c r="BR155" s="533" t="str">
        <f t="shared" ref="BR155" si="235">IF(AND(BB155=0,BE155=0),"No Prog ni Ejec",IF(BB155=0,CONCATENATE("No Prog, Ejec=  ",BE155),BE155/BB155))</f>
        <v>No Prog ni Ejec</v>
      </c>
      <c r="BS155" s="533" t="str">
        <f t="shared" ref="BS155" si="236">IF(AND(BD155=0,BF155=0),"No Prog ni Ejec",IF(BD155=0,CONCATENATE("No Prog, Ejec=  ",BF155),BF155/BD155))</f>
        <v>No Prog ni Ejec</v>
      </c>
      <c r="BT155" s="480">
        <f t="shared" si="115"/>
        <v>1</v>
      </c>
      <c r="BU155" s="481" t="str">
        <f>+U155</f>
        <v>Asesoría Jurídica y acompañamiento para la entidad en relación a las actuaciones administrativas</v>
      </c>
      <c r="BV155" s="482">
        <f t="shared" si="114"/>
        <v>178500000</v>
      </c>
      <c r="BW155" s="479"/>
      <c r="BX155" s="479"/>
      <c r="BY155" s="479"/>
      <c r="BZ155" s="479"/>
      <c r="CA155" s="479"/>
      <c r="CB155" s="479"/>
      <c r="CC155" s="479"/>
    </row>
    <row r="156" spans="1:81" s="428" customFormat="1" ht="63.75" x14ac:dyDescent="0.25">
      <c r="A156" s="470">
        <v>11400</v>
      </c>
      <c r="B156" s="469" t="s">
        <v>26</v>
      </c>
      <c r="C156" s="470" t="s">
        <v>242</v>
      </c>
      <c r="D156" s="469" t="s">
        <v>144</v>
      </c>
      <c r="E156" s="470" t="s">
        <v>941</v>
      </c>
      <c r="F156" s="469" t="s">
        <v>942</v>
      </c>
      <c r="G156" s="471" t="s">
        <v>123</v>
      </c>
      <c r="H156" s="472">
        <v>1</v>
      </c>
      <c r="I156" s="470" t="s">
        <v>943</v>
      </c>
      <c r="J156" s="469" t="s">
        <v>944</v>
      </c>
      <c r="K156" s="529">
        <f>31009020+23256765</f>
        <v>54265785</v>
      </c>
      <c r="L156" s="568">
        <v>1</v>
      </c>
      <c r="M156" s="469" t="s">
        <v>46</v>
      </c>
      <c r="N156" s="469" t="s">
        <v>68</v>
      </c>
      <c r="O156" s="469" t="s">
        <v>34</v>
      </c>
      <c r="P156" s="469" t="s">
        <v>36</v>
      </c>
      <c r="Q156" s="469" t="s">
        <v>225</v>
      </c>
      <c r="R156" s="469" t="s">
        <v>945</v>
      </c>
      <c r="S156" s="469" t="s">
        <v>99</v>
      </c>
      <c r="T156" s="556">
        <v>1</v>
      </c>
      <c r="U156" s="575" t="str">
        <f>+J156</f>
        <v>Cierre convenio con Cafesalud</v>
      </c>
      <c r="V156" s="599">
        <f>+K156</f>
        <v>54265785</v>
      </c>
      <c r="W156" s="477" t="s">
        <v>114</v>
      </c>
      <c r="X156" s="568">
        <v>0.43</v>
      </c>
      <c r="Y156" s="575" t="str">
        <f>+U156</f>
        <v>Cierre convenio con Cafesalud</v>
      </c>
      <c r="Z156" s="529">
        <f>+V156*X156</f>
        <v>23334287.550000001</v>
      </c>
      <c r="AA156" s="530">
        <f>(AB156/Z156)*43%</f>
        <v>0.42857142857142855</v>
      </c>
      <c r="AB156" s="529">
        <v>23256765</v>
      </c>
      <c r="AC156" s="478">
        <f>+(AA156/X156)</f>
        <v>0.99667774086378735</v>
      </c>
      <c r="AD156" s="478">
        <f t="shared" ref="AD156" si="237">+(AB156/Z156)</f>
        <v>0.99667774086378735</v>
      </c>
      <c r="AE156" s="478">
        <f t="shared" ref="AE156" si="238">+(AA156/T156)</f>
        <v>0.42857142857142855</v>
      </c>
      <c r="AF156" s="478">
        <f t="shared" ref="AF156" si="239">+(AB156/V156)</f>
        <v>0.42857142857142855</v>
      </c>
      <c r="AG156" s="575"/>
      <c r="AH156" s="568">
        <v>0.56999999999999995</v>
      </c>
      <c r="AI156" s="575" t="str">
        <f>+U156</f>
        <v>Cierre convenio con Cafesalud</v>
      </c>
      <c r="AJ156" s="529">
        <f>+V156*AH156</f>
        <v>30931497.449999996</v>
      </c>
      <c r="AK156" s="687">
        <v>0</v>
      </c>
      <c r="AL156" s="682">
        <v>0</v>
      </c>
      <c r="AM156" s="478">
        <f t="shared" ref="AM156" si="240">+(AK156/AH156)</f>
        <v>0</v>
      </c>
      <c r="AN156" s="478">
        <f t="shared" ref="AN156" si="241">+(AL156/AJ156)</f>
        <v>0</v>
      </c>
      <c r="AO156" s="478">
        <f t="shared" ref="AO156" si="242">+(AK156+AA156)/T156</f>
        <v>0.42857142857142855</v>
      </c>
      <c r="AP156" s="478">
        <f t="shared" ref="AP156" si="243">+(AL156+AB156)/V156</f>
        <v>0.42857142857142855</v>
      </c>
      <c r="AQ156" s="636" t="s">
        <v>1194</v>
      </c>
      <c r="AR156" s="568">
        <v>0</v>
      </c>
      <c r="AS156" s="575" t="str">
        <f>+U156</f>
        <v>Cierre convenio con Cafesalud</v>
      </c>
      <c r="AT156" s="529">
        <v>0</v>
      </c>
      <c r="AU156" s="530"/>
      <c r="AV156" s="529"/>
      <c r="AW156" s="478" t="e">
        <f t="shared" ref="AW156" si="244">+(AU156/AR156)</f>
        <v>#DIV/0!</v>
      </c>
      <c r="AX156" s="478" t="e">
        <f t="shared" ref="AX156" si="245">+(AV156/AT156)</f>
        <v>#DIV/0!</v>
      </c>
      <c r="AY156" s="478">
        <f t="shared" ref="AY156" si="246">+(AK156+AA156+AU156)/T156</f>
        <v>0.42857142857142855</v>
      </c>
      <c r="AZ156" s="478">
        <f t="shared" ref="AZ156" si="247">+(AL156+AB156+AV156)/V156</f>
        <v>0.42857142857142855</v>
      </c>
      <c r="BA156" s="478"/>
      <c r="BB156" s="568">
        <v>0</v>
      </c>
      <c r="BC156" s="575" t="str">
        <f>+U156</f>
        <v>Cierre convenio con Cafesalud</v>
      </c>
      <c r="BD156" s="529">
        <v>0</v>
      </c>
      <c r="BE156" s="530"/>
      <c r="BF156" s="529"/>
      <c r="BG156" s="472" t="e">
        <f t="shared" ref="BG156" si="248">+(BE156/BB156)</f>
        <v>#DIV/0!</v>
      </c>
      <c r="BH156" s="472" t="e">
        <f t="shared" ref="BH156" si="249">+(BF156/BD156)</f>
        <v>#DIV/0!</v>
      </c>
      <c r="BI156" s="472">
        <f t="shared" ref="BI156" si="250">+(AK156+AA156+AU156+BE156)/T156</f>
        <v>0.42857142857142855</v>
      </c>
      <c r="BJ156" s="472">
        <f t="shared" ref="BJ156" si="251">+(AL156+AB156+AV156+BF156)/V156</f>
        <v>0.42857142857142855</v>
      </c>
      <c r="BK156" s="472"/>
      <c r="BL156" s="533">
        <f t="shared" ref="BL156" si="252">IF(AND(X156=0,AA156=0),"No Prog ni Ejec",IF(X156=0,CONCATENATE("No Prog, Ejec=  ",AA156),AA156/X156))</f>
        <v>0.99667774086378735</v>
      </c>
      <c r="BM156" s="533">
        <f t="shared" ref="BM156" si="253">IF(AND(Z156=0,AB156=0),"No Prog ni Ejec",IF(Z156=0,CONCATENATE("No Prog, Ejec=  ",AB156),AB156/Z156))</f>
        <v>0.99667774086378735</v>
      </c>
      <c r="BN156" s="533">
        <f t="shared" ref="BN156" si="254">IF(AND(AH156=0,AK156=0),"No Prog ni Ejec",IF(AH156=0,CONCATENATE("No Prog, Ejec=  ",AK156),AK156/AH156))</f>
        <v>0</v>
      </c>
      <c r="BO156" s="533">
        <f t="shared" ref="BO156" si="255">IF(AND(AJ156=0,AL156=0),"No Prog ni Ejec",IF(AJ156=0,CONCATENATE("No Prog, Ejec=  ",AL156),AL156/AJ156))</f>
        <v>0</v>
      </c>
      <c r="BP156" s="533" t="str">
        <f t="shared" ref="BP156" si="256">IF(AND(AR156=0,AU156=0),"No Prog ni Ejec",IF(AR156=0,CONCATENATE("No Prog, Ejec=  ",AU156),AU156/AR156))</f>
        <v>No Prog ni Ejec</v>
      </c>
      <c r="BQ156" s="533" t="str">
        <f t="shared" ref="BQ156" si="257">IF(AND(AT156=0,AV156=0),"No Prog ni Ejec",IF(AT156=0,CONCATENATE("No Prog, Ejec=  ",AV156),AV156/AT156))</f>
        <v>No Prog ni Ejec</v>
      </c>
      <c r="BR156" s="533" t="str">
        <f t="shared" ref="BR156" si="258">IF(AND(BB156=0,BE156=0),"No Prog ni Ejec",IF(BB156=0,CONCATENATE("No Prog, Ejec=  ",BE156),BE156/BB156))</f>
        <v>No Prog ni Ejec</v>
      </c>
      <c r="BS156" s="533" t="str">
        <f t="shared" ref="BS156" si="259">IF(AND(BD156=0,BF156=0),"No Prog ni Ejec",IF(BD156=0,CONCATENATE("No Prog, Ejec=  ",BF156),BF156/BD156))</f>
        <v>No Prog ni Ejec</v>
      </c>
      <c r="BT156" s="503">
        <f t="shared" ref="BT156" si="260">+(X156+AH156+(AR156/3))</f>
        <v>1</v>
      </c>
      <c r="BU156" s="575" t="str">
        <f>+U156</f>
        <v>Cierre convenio con Cafesalud</v>
      </c>
      <c r="BV156" s="575"/>
      <c r="BW156" s="575"/>
      <c r="BX156" s="575"/>
      <c r="BY156" s="575"/>
      <c r="BZ156" s="575"/>
      <c r="CA156" s="575"/>
      <c r="CB156" s="575"/>
      <c r="CC156" s="575"/>
    </row>
    <row r="157" spans="1:81" s="149" customFormat="1" ht="51.75" x14ac:dyDescent="0.25">
      <c r="A157" s="706">
        <v>11600</v>
      </c>
      <c r="B157" s="700" t="s">
        <v>6</v>
      </c>
      <c r="C157" s="706" t="s">
        <v>278</v>
      </c>
      <c r="D157" s="700" t="s">
        <v>147</v>
      </c>
      <c r="E157" s="706" t="s">
        <v>1038</v>
      </c>
      <c r="F157" s="634" t="s">
        <v>1039</v>
      </c>
      <c r="G157" s="698" t="s">
        <v>123</v>
      </c>
      <c r="H157" s="699">
        <v>1</v>
      </c>
      <c r="I157" s="706" t="s">
        <v>1040</v>
      </c>
      <c r="J157" s="634" t="s">
        <v>1041</v>
      </c>
      <c r="K157" s="707">
        <v>102000000</v>
      </c>
      <c r="L157" s="708">
        <v>1</v>
      </c>
      <c r="M157" s="700" t="s">
        <v>46</v>
      </c>
      <c r="N157" s="700" t="s">
        <v>73</v>
      </c>
      <c r="O157" s="700" t="s">
        <v>37</v>
      </c>
      <c r="P157" s="700" t="s">
        <v>40</v>
      </c>
      <c r="Q157" s="700" t="s">
        <v>228</v>
      </c>
      <c r="R157" s="700" t="s">
        <v>379</v>
      </c>
      <c r="S157" s="700" t="s">
        <v>99</v>
      </c>
      <c r="T157" s="709">
        <v>1</v>
      </c>
      <c r="U157" s="634" t="str">
        <f t="shared" ref="U157:V158" si="261">+J157</f>
        <v>Apoyo técnico para la implementación de la red de almacenamiento de información.</v>
      </c>
      <c r="V157" s="710">
        <f t="shared" si="261"/>
        <v>102000000</v>
      </c>
      <c r="W157" s="634" t="s">
        <v>114</v>
      </c>
      <c r="X157" s="709">
        <v>0</v>
      </c>
      <c r="Y157" s="634" t="str">
        <f>+U157</f>
        <v>Apoyo técnico para la implementación de la red de almacenamiento de información.</v>
      </c>
      <c r="Z157" s="696">
        <f>+K157*X157</f>
        <v>0</v>
      </c>
      <c r="AA157" s="711"/>
      <c r="AB157" s="712"/>
      <c r="AC157" s="702" t="e">
        <f t="shared" ref="AC157:AC161" si="262">+(AA157/X157)</f>
        <v>#DIV/0!</v>
      </c>
      <c r="AD157" s="702" t="e">
        <f t="shared" ref="AD157:AD161" si="263">+(AB157/Z157)</f>
        <v>#DIV/0!</v>
      </c>
      <c r="AE157" s="702">
        <f t="shared" ref="AE157:AE161" si="264">+(AA157/T157)</f>
        <v>0</v>
      </c>
      <c r="AF157" s="702">
        <f t="shared" ref="AF157:AF161" si="265">+(AB157/V157)</f>
        <v>0</v>
      </c>
      <c r="AG157" s="713"/>
      <c r="AH157" s="709">
        <v>0</v>
      </c>
      <c r="AI157" s="714" t="str">
        <f>+U157</f>
        <v>Apoyo técnico para la implementación de la red de almacenamiento de información.</v>
      </c>
      <c r="AJ157" s="710">
        <v>0</v>
      </c>
      <c r="AK157" s="715">
        <v>0</v>
      </c>
      <c r="AL157" s="716">
        <v>0</v>
      </c>
      <c r="AM157" s="702">
        <v>0</v>
      </c>
      <c r="AN157" s="702">
        <v>0</v>
      </c>
      <c r="AO157" s="702">
        <f t="shared" ref="AO157:AO158" si="266">+IFERROR((AK157+AA157)/T157,"")</f>
        <v>0</v>
      </c>
      <c r="AP157" s="702">
        <f t="shared" ref="AP157:AP158" si="267">+IFERROR((AL157+AB157)/V157,"")</f>
        <v>0</v>
      </c>
      <c r="AQ157" s="717" t="s">
        <v>1042</v>
      </c>
      <c r="AR157" s="709">
        <v>1</v>
      </c>
      <c r="AS157" s="634" t="str">
        <f>+U157</f>
        <v>Apoyo técnico para la implementación de la red de almacenamiento de información.</v>
      </c>
      <c r="AT157" s="710">
        <v>102000000</v>
      </c>
      <c r="AU157" s="718"/>
      <c r="AV157" s="718"/>
      <c r="AW157" s="702">
        <f t="shared" ref="AW157:AW161" si="268">+(AU157/AR157)</f>
        <v>0</v>
      </c>
      <c r="AX157" s="702">
        <f t="shared" ref="AX157:AX161" si="269">+(AV157/AT157)</f>
        <v>0</v>
      </c>
      <c r="AY157" s="702">
        <f t="shared" ref="AY157:AY160" si="270">+(AK157+AA157+AU157)/T157</f>
        <v>0</v>
      </c>
      <c r="AZ157" s="702">
        <f t="shared" ref="AZ157:AZ161" si="271">+(AL157+AB157+AV157)/V157</f>
        <v>0</v>
      </c>
      <c r="BA157" s="718"/>
      <c r="BB157" s="709">
        <v>0</v>
      </c>
      <c r="BC157" s="634" t="str">
        <f>+U157</f>
        <v>Apoyo técnico para la implementación de la red de almacenamiento de información.</v>
      </c>
      <c r="BD157" s="718">
        <v>0</v>
      </c>
      <c r="BE157" s="718"/>
      <c r="BF157" s="718"/>
      <c r="BG157" s="699" t="e">
        <f t="shared" ref="BG157:BG161" si="272">+(BE157/BB157)</f>
        <v>#DIV/0!</v>
      </c>
      <c r="BH157" s="699" t="e">
        <f t="shared" ref="BH157:BH161" si="273">+(BF157/BD157)</f>
        <v>#DIV/0!</v>
      </c>
      <c r="BI157" s="699">
        <f t="shared" ref="BI157:BI161" si="274">+(AK157+AA157+AU157+BE157)/T157</f>
        <v>0</v>
      </c>
      <c r="BJ157" s="699">
        <f t="shared" ref="BJ157:BJ161" si="275">+(AL157+AB157+AV157+BF157)/V157</f>
        <v>0</v>
      </c>
      <c r="BK157" s="718"/>
      <c r="BL157" s="719" t="str">
        <f t="shared" ref="BL157:BL161" si="276">IF(AND(X157=0,AA157=0),"No Prog ni Ejec",IF(X157=0,CONCATENATE("No Prog, Ejec=  ",AA157),AA157/X157))</f>
        <v>No Prog ni Ejec</v>
      </c>
      <c r="BM157" s="719" t="str">
        <f t="shared" ref="BM157:BM161" si="277">IF(AND(Z157=0,AB157=0),"No Prog ni Ejec",IF(Z157=0,CONCATENATE("No Prog, Ejec=  ",AB157),AB157/Z157))</f>
        <v>No Prog ni Ejec</v>
      </c>
      <c r="BN157" s="719" t="str">
        <f t="shared" ref="BN157:BN161" si="278">IF(AND(AH157=0,AK157=0),"No Prog ni Ejec",IF(AH157=0,CONCATENATE("No Prog, Ejec=  ",AK157),AK157/AH157))</f>
        <v>No Prog ni Ejec</v>
      </c>
      <c r="BO157" s="719" t="str">
        <f t="shared" ref="BO157:BO161" si="279">IF(AND(AJ157=0,AL157=0),"No Prog ni Ejec",IF(AJ157=0,CONCATENATE("No Prog, Ejec=  ",AL157),AL157/AJ157))</f>
        <v>No Prog ni Ejec</v>
      </c>
      <c r="BP157" s="719">
        <f t="shared" ref="BP157:BP161" si="280">IF(AND(AR157=0,AU157=0),"No Prog ni Ejec",IF(AR157=0,CONCATENATE("No Prog, Ejec=  ",AU157),AU157/AR157))</f>
        <v>0</v>
      </c>
      <c r="BQ157" s="719">
        <f t="shared" ref="BQ157:BQ161" si="281">IF(AND(AT157=0,AV157=0),"No Prog ni Ejec",IF(AT157=0,CONCATENATE("No Prog, Ejec=  ",AV157),AV157/AT157))</f>
        <v>0</v>
      </c>
      <c r="BR157" s="719" t="str">
        <f t="shared" ref="BR157:BR161" si="282">IF(AND(BB157=0,BE157=0),"No Prog ni Ejec",IF(BB157=0,CONCATENATE("No Prog, Ejec=  ",BE157),BE157/BB157))</f>
        <v>No Prog ni Ejec</v>
      </c>
      <c r="BS157" s="719" t="str">
        <f t="shared" ref="BS157:BS161" si="283">IF(AND(BD157=0,BF157=0),"No Prog ni Ejec",IF(BD157=0,CONCATENATE("No Prog, Ejec=  ",BF157),BF157/BD157))</f>
        <v>No Prog ni Ejec</v>
      </c>
      <c r="BT157" s="720">
        <f t="shared" ref="BT157:BT158" si="284">+(X157+AH157+(AR157/3))</f>
        <v>0.33333333333333331</v>
      </c>
      <c r="BU157" s="634" t="str">
        <f>+U157</f>
        <v>Apoyo técnico para la implementación de la red de almacenamiento de información.</v>
      </c>
      <c r="BV157" s="721">
        <f t="shared" ref="BV157:BV158" si="285">+(Z157+AJ157+(AT157/3))</f>
        <v>34000000</v>
      </c>
      <c r="BW157" s="718"/>
      <c r="BX157" s="718"/>
      <c r="BY157" s="718"/>
      <c r="BZ157" s="718"/>
      <c r="CA157" s="718"/>
      <c r="CB157" s="718"/>
      <c r="CC157" s="718"/>
    </row>
    <row r="158" spans="1:81" s="149" customFormat="1" ht="115.5" x14ac:dyDescent="0.25">
      <c r="A158" s="706">
        <v>11600</v>
      </c>
      <c r="B158" s="700" t="s">
        <v>6</v>
      </c>
      <c r="C158" s="706" t="s">
        <v>278</v>
      </c>
      <c r="D158" s="700" t="s">
        <v>147</v>
      </c>
      <c r="E158" s="706" t="s">
        <v>1043</v>
      </c>
      <c r="F158" s="634" t="s">
        <v>1044</v>
      </c>
      <c r="G158" s="698" t="s">
        <v>123</v>
      </c>
      <c r="H158" s="699">
        <v>1</v>
      </c>
      <c r="I158" s="706" t="s">
        <v>1045</v>
      </c>
      <c r="J158" s="634" t="s">
        <v>1046</v>
      </c>
      <c r="K158" s="707">
        <v>30821034</v>
      </c>
      <c r="L158" s="708">
        <v>1</v>
      </c>
      <c r="M158" s="700" t="s">
        <v>46</v>
      </c>
      <c r="N158" s="700" t="s">
        <v>73</v>
      </c>
      <c r="O158" s="700" t="s">
        <v>37</v>
      </c>
      <c r="P158" s="700" t="s">
        <v>40</v>
      </c>
      <c r="Q158" s="700" t="s">
        <v>228</v>
      </c>
      <c r="R158" s="700" t="s">
        <v>379</v>
      </c>
      <c r="S158" s="700" t="s">
        <v>99</v>
      </c>
      <c r="T158" s="709">
        <v>1</v>
      </c>
      <c r="U158" s="634" t="str">
        <f t="shared" si="261"/>
        <v>Administración y desarrollo de soluciones en la plataforma SharePoint requeridas para el portal web y portal intranet de la ADRES</v>
      </c>
      <c r="V158" s="710">
        <f t="shared" si="261"/>
        <v>30821034</v>
      </c>
      <c r="W158" s="634" t="s">
        <v>114</v>
      </c>
      <c r="X158" s="709">
        <v>0</v>
      </c>
      <c r="Y158" s="634" t="str">
        <f>+U158</f>
        <v>Administración y desarrollo de soluciones en la plataforma SharePoint requeridas para el portal web y portal intranet de la ADRES</v>
      </c>
      <c r="Z158" s="696">
        <f>+K158*X158</f>
        <v>0</v>
      </c>
      <c r="AA158" s="711"/>
      <c r="AB158" s="712"/>
      <c r="AC158" s="702" t="e">
        <f t="shared" si="262"/>
        <v>#DIV/0!</v>
      </c>
      <c r="AD158" s="702" t="e">
        <f t="shared" si="263"/>
        <v>#DIV/0!</v>
      </c>
      <c r="AE158" s="702">
        <f t="shared" si="264"/>
        <v>0</v>
      </c>
      <c r="AF158" s="702">
        <f t="shared" si="265"/>
        <v>0</v>
      </c>
      <c r="AG158" s="713"/>
      <c r="AH158" s="709">
        <v>0.17</v>
      </c>
      <c r="AI158" s="714" t="str">
        <f>+U158</f>
        <v>Administración y desarrollo de soluciones en la plataforma SharePoint requeridas para el portal web y portal intranet de la ADRES</v>
      </c>
      <c r="AJ158" s="710">
        <f>+V158*AH158</f>
        <v>5239575.78</v>
      </c>
      <c r="AK158" s="715">
        <v>0</v>
      </c>
      <c r="AL158" s="716">
        <v>0</v>
      </c>
      <c r="AM158" s="702">
        <f t="shared" ref="AM158" si="286">+IFERROR((AK158/AH158),"")</f>
        <v>0</v>
      </c>
      <c r="AN158" s="702">
        <f t="shared" ref="AN158" si="287">+IFERROR((AL158/AJ158),"")</f>
        <v>0</v>
      </c>
      <c r="AO158" s="702">
        <f t="shared" si="266"/>
        <v>0</v>
      </c>
      <c r="AP158" s="702">
        <f t="shared" si="267"/>
        <v>0</v>
      </c>
      <c r="AQ158" s="717" t="s">
        <v>1178</v>
      </c>
      <c r="AR158" s="709">
        <v>0.66</v>
      </c>
      <c r="AS158" s="634" t="str">
        <f>+U158</f>
        <v>Administración y desarrollo de soluciones en la plataforma SharePoint requeridas para el portal web y portal intranet de la ADRES</v>
      </c>
      <c r="AT158" s="710">
        <f>+V158*AR158</f>
        <v>20341882.440000001</v>
      </c>
      <c r="AU158" s="718"/>
      <c r="AV158" s="718"/>
      <c r="AW158" s="702">
        <f t="shared" si="268"/>
        <v>0</v>
      </c>
      <c r="AX158" s="702">
        <f t="shared" si="269"/>
        <v>0</v>
      </c>
      <c r="AY158" s="702">
        <f t="shared" si="270"/>
        <v>0</v>
      </c>
      <c r="AZ158" s="702">
        <f t="shared" si="271"/>
        <v>0</v>
      </c>
      <c r="BA158" s="718"/>
      <c r="BB158" s="709">
        <v>0.17</v>
      </c>
      <c r="BC158" s="634" t="str">
        <f>+U158</f>
        <v>Administración y desarrollo de soluciones en la plataforma SharePoint requeridas para el portal web y portal intranet de la ADRES</v>
      </c>
      <c r="BD158" s="721">
        <f>+V158*BB158</f>
        <v>5239575.78</v>
      </c>
      <c r="BE158" s="718"/>
      <c r="BF158" s="718"/>
      <c r="BG158" s="699">
        <f t="shared" si="272"/>
        <v>0</v>
      </c>
      <c r="BH158" s="699">
        <f t="shared" si="273"/>
        <v>0</v>
      </c>
      <c r="BI158" s="699">
        <f t="shared" si="274"/>
        <v>0</v>
      </c>
      <c r="BJ158" s="699">
        <f t="shared" si="275"/>
        <v>0</v>
      </c>
      <c r="BK158" s="718"/>
      <c r="BL158" s="719" t="str">
        <f t="shared" si="276"/>
        <v>No Prog ni Ejec</v>
      </c>
      <c r="BM158" s="719" t="str">
        <f t="shared" si="277"/>
        <v>No Prog ni Ejec</v>
      </c>
      <c r="BN158" s="719">
        <f t="shared" si="278"/>
        <v>0</v>
      </c>
      <c r="BO158" s="719">
        <f t="shared" si="279"/>
        <v>0</v>
      </c>
      <c r="BP158" s="719">
        <f t="shared" si="280"/>
        <v>0</v>
      </c>
      <c r="BQ158" s="719">
        <f t="shared" si="281"/>
        <v>0</v>
      </c>
      <c r="BR158" s="719">
        <f t="shared" si="282"/>
        <v>0</v>
      </c>
      <c r="BS158" s="719">
        <f t="shared" si="283"/>
        <v>0</v>
      </c>
      <c r="BT158" s="720">
        <f t="shared" si="284"/>
        <v>0.39</v>
      </c>
      <c r="BU158" s="634" t="str">
        <f>+U158</f>
        <v>Administración y desarrollo de soluciones en la plataforma SharePoint requeridas para el portal web y portal intranet de la ADRES</v>
      </c>
      <c r="BV158" s="721">
        <f t="shared" si="285"/>
        <v>12020203.260000002</v>
      </c>
      <c r="BW158" s="718"/>
      <c r="BX158" s="718"/>
      <c r="BY158" s="718"/>
      <c r="BZ158" s="718"/>
      <c r="CA158" s="718"/>
      <c r="CB158" s="718"/>
      <c r="CC158" s="718"/>
    </row>
    <row r="159" spans="1:81" s="149" customFormat="1" ht="89.25" x14ac:dyDescent="0.25">
      <c r="A159" s="667">
        <v>11200</v>
      </c>
      <c r="B159" s="666" t="s">
        <v>1067</v>
      </c>
      <c r="C159" s="667" t="s">
        <v>152</v>
      </c>
      <c r="D159" s="666" t="s">
        <v>256</v>
      </c>
      <c r="E159" s="667" t="s">
        <v>1068</v>
      </c>
      <c r="F159" s="666" t="s">
        <v>1069</v>
      </c>
      <c r="G159" s="668" t="s">
        <v>124</v>
      </c>
      <c r="H159" s="667">
        <v>6</v>
      </c>
      <c r="I159" s="667" t="s">
        <v>1070</v>
      </c>
      <c r="J159" s="666" t="s">
        <v>1071</v>
      </c>
      <c r="K159" s="670">
        <v>38642460</v>
      </c>
      <c r="L159" s="722">
        <v>1</v>
      </c>
      <c r="M159" s="666" t="s">
        <v>48</v>
      </c>
      <c r="N159" s="666" t="s">
        <v>62</v>
      </c>
      <c r="O159" s="666" t="s">
        <v>21</v>
      </c>
      <c r="P159" s="666" t="s">
        <v>23</v>
      </c>
      <c r="Q159" s="666" t="s">
        <v>792</v>
      </c>
      <c r="R159" s="666" t="s">
        <v>1072</v>
      </c>
      <c r="S159" s="666" t="s">
        <v>98</v>
      </c>
      <c r="T159" s="723">
        <v>6</v>
      </c>
      <c r="U159" s="666" t="str">
        <f>+J159</f>
        <v>Administrar los contenidos de los medios digitales de la ADRES</v>
      </c>
      <c r="V159" s="672">
        <v>38642460</v>
      </c>
      <c r="W159" s="627" t="s">
        <v>114</v>
      </c>
      <c r="X159" s="724">
        <v>0</v>
      </c>
      <c r="Y159" s="725" t="str">
        <f>+U159</f>
        <v>Administrar los contenidos de los medios digitales de la ADRES</v>
      </c>
      <c r="Z159" s="670">
        <v>0</v>
      </c>
      <c r="AA159" s="726"/>
      <c r="AB159" s="726"/>
      <c r="AC159" s="675" t="e">
        <f t="shared" si="262"/>
        <v>#DIV/0!</v>
      </c>
      <c r="AD159" s="675" t="e">
        <f t="shared" si="263"/>
        <v>#DIV/0!</v>
      </c>
      <c r="AE159" s="675">
        <f t="shared" si="264"/>
        <v>0</v>
      </c>
      <c r="AF159" s="675">
        <f t="shared" si="265"/>
        <v>0</v>
      </c>
      <c r="AG159" s="666"/>
      <c r="AH159" s="724">
        <v>0</v>
      </c>
      <c r="AI159" s="725" t="str">
        <f>+U159</f>
        <v>Administrar los contenidos de los medios digitales de la ADRES</v>
      </c>
      <c r="AJ159" s="670">
        <v>0</v>
      </c>
      <c r="AK159" s="727">
        <v>0</v>
      </c>
      <c r="AL159" s="727">
        <v>0</v>
      </c>
      <c r="AM159" s="675" t="e">
        <f t="shared" ref="AM159:AM161" si="288">+(AK159/AH159)</f>
        <v>#DIV/0!</v>
      </c>
      <c r="AN159" s="675" t="e">
        <f t="shared" ref="AN159:AN161" si="289">+(AL159/AJ159)</f>
        <v>#DIV/0!</v>
      </c>
      <c r="AO159" s="675">
        <f t="shared" ref="AO159:AO161" si="290">+(AK159+AA159)/T159</f>
        <v>0</v>
      </c>
      <c r="AP159" s="675">
        <f t="shared" ref="AP159:AP161" si="291">+(AL159+AB159)/V159</f>
        <v>0</v>
      </c>
      <c r="AQ159" s="675"/>
      <c r="AR159" s="724">
        <v>3</v>
      </c>
      <c r="AS159" s="725" t="str">
        <f>+U159</f>
        <v>Administrar los contenidos de los medios digitales de la ADRES</v>
      </c>
      <c r="AT159" s="728">
        <f>38642460/2</f>
        <v>19321230</v>
      </c>
      <c r="AU159" s="677"/>
      <c r="AV159" s="677"/>
      <c r="AW159" s="675">
        <f t="shared" si="268"/>
        <v>0</v>
      </c>
      <c r="AX159" s="675">
        <f t="shared" si="269"/>
        <v>0</v>
      </c>
      <c r="AY159" s="675">
        <f t="shared" si="270"/>
        <v>0</v>
      </c>
      <c r="AZ159" s="675">
        <f t="shared" si="271"/>
        <v>0</v>
      </c>
      <c r="BA159" s="675"/>
      <c r="BB159" s="723">
        <v>3</v>
      </c>
      <c r="BC159" s="725" t="str">
        <f>+U159</f>
        <v>Administrar los contenidos de los medios digitales de la ADRES</v>
      </c>
      <c r="BD159" s="728">
        <f>38642460/2</f>
        <v>19321230</v>
      </c>
      <c r="BE159" s="726"/>
      <c r="BF159" s="726"/>
      <c r="BG159" s="669">
        <f t="shared" si="272"/>
        <v>0</v>
      </c>
      <c r="BH159" s="669">
        <f t="shared" si="273"/>
        <v>0</v>
      </c>
      <c r="BI159" s="669">
        <f t="shared" si="274"/>
        <v>0</v>
      </c>
      <c r="BJ159" s="669">
        <f t="shared" si="275"/>
        <v>0</v>
      </c>
      <c r="BK159" s="726"/>
      <c r="BL159" s="678" t="str">
        <f t="shared" si="276"/>
        <v>No Prog ni Ejec</v>
      </c>
      <c r="BM159" s="678" t="str">
        <f t="shared" si="277"/>
        <v>No Prog ni Ejec</v>
      </c>
      <c r="BN159" s="678" t="str">
        <f t="shared" si="278"/>
        <v>No Prog ni Ejec</v>
      </c>
      <c r="BO159" s="678" t="str">
        <f t="shared" si="279"/>
        <v>No Prog ni Ejec</v>
      </c>
      <c r="BP159" s="678">
        <f t="shared" si="280"/>
        <v>0</v>
      </c>
      <c r="BQ159" s="678">
        <f t="shared" si="281"/>
        <v>0</v>
      </c>
      <c r="BR159" s="678">
        <f t="shared" si="282"/>
        <v>0</v>
      </c>
      <c r="BS159" s="678">
        <f t="shared" si="283"/>
        <v>0</v>
      </c>
      <c r="BT159" s="729">
        <f>+(X159+AH159+(AR159/3))</f>
        <v>1</v>
      </c>
      <c r="BU159" s="679" t="str">
        <f t="shared" ref="BU159:BU161" si="292">+U159</f>
        <v>Administrar los contenidos de los medios digitales de la ADRES</v>
      </c>
      <c r="BV159" s="674">
        <v>0</v>
      </c>
      <c r="BW159" s="726"/>
      <c r="BX159" s="726"/>
      <c r="BY159" s="726"/>
      <c r="BZ159" s="726"/>
      <c r="CA159" s="726"/>
      <c r="CB159" s="726"/>
      <c r="CC159" s="726"/>
    </row>
    <row r="160" spans="1:81" s="149" customFormat="1" ht="89.25" x14ac:dyDescent="0.25">
      <c r="A160" s="665">
        <v>11200</v>
      </c>
      <c r="B160" s="666" t="s">
        <v>1073</v>
      </c>
      <c r="C160" s="667" t="s">
        <v>152</v>
      </c>
      <c r="D160" s="666" t="s">
        <v>256</v>
      </c>
      <c r="E160" s="667" t="s">
        <v>1074</v>
      </c>
      <c r="F160" s="666" t="s">
        <v>1075</v>
      </c>
      <c r="G160" s="668" t="s">
        <v>123</v>
      </c>
      <c r="H160" s="669">
        <v>1</v>
      </c>
      <c r="I160" s="667" t="s">
        <v>1076</v>
      </c>
      <c r="J160" s="666" t="s">
        <v>1077</v>
      </c>
      <c r="K160" s="670">
        <v>30821034</v>
      </c>
      <c r="L160" s="722">
        <v>1</v>
      </c>
      <c r="M160" s="666" t="s">
        <v>48</v>
      </c>
      <c r="N160" s="666" t="s">
        <v>62</v>
      </c>
      <c r="O160" s="666" t="s">
        <v>21</v>
      </c>
      <c r="P160" s="666" t="s">
        <v>23</v>
      </c>
      <c r="Q160" s="666" t="s">
        <v>792</v>
      </c>
      <c r="R160" s="666" t="s">
        <v>1078</v>
      </c>
      <c r="S160" s="666" t="s">
        <v>98</v>
      </c>
      <c r="T160" s="722">
        <v>1</v>
      </c>
      <c r="U160" s="671" t="str">
        <f t="shared" ref="U160:V161" si="293">+J160</f>
        <v>Página web de la entidad adaptada de acuerdo con la NTC 5854, que establece los requisitos de accesibilidad que son aplicables a las páginas web</v>
      </c>
      <c r="V160" s="672">
        <f t="shared" si="293"/>
        <v>30821034</v>
      </c>
      <c r="W160" s="627" t="s">
        <v>114</v>
      </c>
      <c r="X160" s="722">
        <v>0</v>
      </c>
      <c r="Y160" s="725" t="str">
        <f>+U160</f>
        <v>Página web de la entidad adaptada de acuerdo con la NTC 5854, que establece los requisitos de accesibilidad que son aplicables a las páginas web</v>
      </c>
      <c r="Z160" s="670">
        <v>0</v>
      </c>
      <c r="AA160" s="730"/>
      <c r="AB160" s="670"/>
      <c r="AC160" s="675" t="e">
        <f t="shared" si="262"/>
        <v>#DIV/0!</v>
      </c>
      <c r="AD160" s="675" t="e">
        <f t="shared" si="263"/>
        <v>#DIV/0!</v>
      </c>
      <c r="AE160" s="675">
        <f t="shared" si="264"/>
        <v>0</v>
      </c>
      <c r="AF160" s="675">
        <f t="shared" si="265"/>
        <v>0</v>
      </c>
      <c r="AG160" s="676"/>
      <c r="AH160" s="722">
        <v>0</v>
      </c>
      <c r="AI160" s="725" t="str">
        <f>+U160</f>
        <v>Página web de la entidad adaptada de acuerdo con la NTC 5854, que establece los requisitos de accesibilidad que son aplicables a las páginas web</v>
      </c>
      <c r="AJ160" s="670">
        <v>0</v>
      </c>
      <c r="AK160" s="715">
        <v>0</v>
      </c>
      <c r="AL160" s="727">
        <v>0</v>
      </c>
      <c r="AM160" s="675" t="e">
        <f t="shared" si="288"/>
        <v>#DIV/0!</v>
      </c>
      <c r="AN160" s="675" t="e">
        <f t="shared" si="289"/>
        <v>#DIV/0!</v>
      </c>
      <c r="AO160" s="675">
        <f t="shared" si="290"/>
        <v>0</v>
      </c>
      <c r="AP160" s="675">
        <f t="shared" si="291"/>
        <v>0</v>
      </c>
      <c r="AQ160" s="675"/>
      <c r="AR160" s="722">
        <v>0</v>
      </c>
      <c r="AS160" s="725" t="str">
        <f>+U160</f>
        <v>Página web de la entidad adaptada de acuerdo con la NTC 5854, que establece los requisitos de accesibilidad que son aplicables a las páginas web</v>
      </c>
      <c r="AT160" s="670">
        <f>+V160*0.5</f>
        <v>15410517</v>
      </c>
      <c r="AU160" s="677"/>
      <c r="AV160" s="677"/>
      <c r="AW160" s="675" t="e">
        <f t="shared" si="268"/>
        <v>#DIV/0!</v>
      </c>
      <c r="AX160" s="675">
        <f t="shared" si="269"/>
        <v>0</v>
      </c>
      <c r="AY160" s="675">
        <f t="shared" si="270"/>
        <v>0</v>
      </c>
      <c r="AZ160" s="675">
        <f t="shared" si="271"/>
        <v>0</v>
      </c>
      <c r="BA160" s="675"/>
      <c r="BB160" s="722">
        <v>1</v>
      </c>
      <c r="BC160" s="725" t="str">
        <f>+U160</f>
        <v>Página web de la entidad adaptada de acuerdo con la NTC 5854, que establece los requisitos de accesibilidad que son aplicables a las páginas web</v>
      </c>
      <c r="BD160" s="670">
        <f>+V160*0.5</f>
        <v>15410517</v>
      </c>
      <c r="BE160" s="677"/>
      <c r="BF160" s="677"/>
      <c r="BG160" s="669">
        <f t="shared" si="272"/>
        <v>0</v>
      </c>
      <c r="BH160" s="669">
        <f t="shared" si="273"/>
        <v>0</v>
      </c>
      <c r="BI160" s="669">
        <f t="shared" si="274"/>
        <v>0</v>
      </c>
      <c r="BJ160" s="669">
        <f t="shared" si="275"/>
        <v>0</v>
      </c>
      <c r="BK160" s="669"/>
      <c r="BL160" s="678" t="str">
        <f t="shared" si="276"/>
        <v>No Prog ni Ejec</v>
      </c>
      <c r="BM160" s="678" t="str">
        <f t="shared" si="277"/>
        <v>No Prog ni Ejec</v>
      </c>
      <c r="BN160" s="678" t="str">
        <f t="shared" si="278"/>
        <v>No Prog ni Ejec</v>
      </c>
      <c r="BO160" s="678" t="str">
        <f t="shared" si="279"/>
        <v>No Prog ni Ejec</v>
      </c>
      <c r="BP160" s="678" t="str">
        <f t="shared" si="280"/>
        <v>No Prog ni Ejec</v>
      </c>
      <c r="BQ160" s="678">
        <f t="shared" si="281"/>
        <v>0</v>
      </c>
      <c r="BR160" s="678">
        <f t="shared" si="282"/>
        <v>0</v>
      </c>
      <c r="BS160" s="678">
        <f t="shared" si="283"/>
        <v>0</v>
      </c>
      <c r="BT160" s="729">
        <f t="shared" ref="BT160:BT161" si="294">+(X160+AH160+(AR160/3))</f>
        <v>0</v>
      </c>
      <c r="BU160" s="679" t="str">
        <f t="shared" si="292"/>
        <v>Página web de la entidad adaptada de acuerdo con la NTC 5854, que establece los requisitos de accesibilidad que son aplicables a las páginas web</v>
      </c>
      <c r="BV160" s="674">
        <f t="shared" ref="BV160:BV161" si="295">+(Z160+AJ160+(AT160/3))</f>
        <v>5136839</v>
      </c>
      <c r="BW160" s="677"/>
      <c r="BX160" s="677"/>
      <c r="BY160" s="677"/>
      <c r="BZ160" s="677"/>
      <c r="CA160" s="677"/>
      <c r="CB160" s="677"/>
      <c r="CC160" s="677"/>
    </row>
    <row r="161" spans="1:82" s="149" customFormat="1" ht="89.25" x14ac:dyDescent="0.25">
      <c r="A161" s="667" t="s">
        <v>1085</v>
      </c>
      <c r="B161" s="666" t="s">
        <v>1086</v>
      </c>
      <c r="C161" s="667" t="s">
        <v>1079</v>
      </c>
      <c r="D161" s="666" t="s">
        <v>256</v>
      </c>
      <c r="E161" s="667" t="s">
        <v>1080</v>
      </c>
      <c r="F161" s="666" t="s">
        <v>1081</v>
      </c>
      <c r="G161" s="627" t="s">
        <v>123</v>
      </c>
      <c r="H161" s="731">
        <v>1</v>
      </c>
      <c r="I161" s="667" t="s">
        <v>1082</v>
      </c>
      <c r="J161" s="666" t="s">
        <v>1083</v>
      </c>
      <c r="K161" s="732">
        <v>50000000</v>
      </c>
      <c r="L161" s="722">
        <v>1</v>
      </c>
      <c r="M161" s="666" t="s">
        <v>46</v>
      </c>
      <c r="N161" s="666" t="s">
        <v>68</v>
      </c>
      <c r="O161" s="666" t="s">
        <v>21</v>
      </c>
      <c r="P161" s="666" t="s">
        <v>36</v>
      </c>
      <c r="Q161" s="666" t="s">
        <v>214</v>
      </c>
      <c r="R161" s="666" t="s">
        <v>1084</v>
      </c>
      <c r="S161" s="666" t="s">
        <v>99</v>
      </c>
      <c r="T161" s="722">
        <v>1</v>
      </c>
      <c r="U161" s="671" t="str">
        <f t="shared" si="293"/>
        <v>Implementar las NIIF de acuerdo con la Resolución 553, el instructivo 002 de 2015 y sus modificaciones.</v>
      </c>
      <c r="V161" s="733">
        <f t="shared" si="293"/>
        <v>50000000</v>
      </c>
      <c r="W161" s="627" t="s">
        <v>114</v>
      </c>
      <c r="X161" s="669">
        <v>0</v>
      </c>
      <c r="Y161" s="671" t="str">
        <f>+U161</f>
        <v>Implementar las NIIF de acuerdo con la Resolución 553, el instructivo 002 de 2015 y sus modificaciones.</v>
      </c>
      <c r="Z161" s="732">
        <v>0</v>
      </c>
      <c r="AA161" s="627"/>
      <c r="AB161" s="627"/>
      <c r="AC161" s="675" t="e">
        <f t="shared" si="262"/>
        <v>#DIV/0!</v>
      </c>
      <c r="AD161" s="675" t="e">
        <f t="shared" si="263"/>
        <v>#DIV/0!</v>
      </c>
      <c r="AE161" s="675">
        <f t="shared" si="264"/>
        <v>0</v>
      </c>
      <c r="AF161" s="675">
        <f t="shared" si="265"/>
        <v>0</v>
      </c>
      <c r="AG161" s="668"/>
      <c r="AH161" s="669">
        <v>0</v>
      </c>
      <c r="AI161" s="671" t="str">
        <f>+U161</f>
        <v>Implementar las NIIF de acuerdo con la Resolución 553, el instructivo 002 de 2015 y sus modificaciones.</v>
      </c>
      <c r="AJ161" s="732">
        <v>0</v>
      </c>
      <c r="AK161" s="715">
        <v>0</v>
      </c>
      <c r="AL161" s="727">
        <v>0</v>
      </c>
      <c r="AM161" s="675" t="e">
        <f t="shared" si="288"/>
        <v>#DIV/0!</v>
      </c>
      <c r="AN161" s="675" t="e">
        <f t="shared" si="289"/>
        <v>#DIV/0!</v>
      </c>
      <c r="AO161" s="675">
        <f t="shared" si="290"/>
        <v>0</v>
      </c>
      <c r="AP161" s="675">
        <f t="shared" si="291"/>
        <v>0</v>
      </c>
      <c r="AQ161" s="668"/>
      <c r="AR161" s="669">
        <v>0</v>
      </c>
      <c r="AS161" s="671" t="str">
        <f>+U161</f>
        <v>Implementar las NIIF de acuerdo con la Resolución 553, el instructivo 002 de 2015 y sus modificaciones.</v>
      </c>
      <c r="AT161" s="732">
        <v>0</v>
      </c>
      <c r="AU161" s="627"/>
      <c r="AV161" s="627"/>
      <c r="AW161" s="675" t="e">
        <f t="shared" si="268"/>
        <v>#DIV/0!</v>
      </c>
      <c r="AX161" s="675" t="e">
        <f t="shared" si="269"/>
        <v>#DIV/0!</v>
      </c>
      <c r="AY161" s="722">
        <f>+(AK161+AA161+AU161)/T161</f>
        <v>0</v>
      </c>
      <c r="AZ161" s="675">
        <f t="shared" si="271"/>
        <v>0</v>
      </c>
      <c r="BA161" s="627"/>
      <c r="BB161" s="669">
        <v>1</v>
      </c>
      <c r="BC161" s="671" t="str">
        <f>+U161</f>
        <v>Implementar las NIIF de acuerdo con la Resolución 553, el instructivo 002 de 2015 y sus modificaciones.</v>
      </c>
      <c r="BD161" s="732">
        <v>50000000</v>
      </c>
      <c r="BE161" s="627"/>
      <c r="BF161" s="627"/>
      <c r="BG161" s="669">
        <f t="shared" si="272"/>
        <v>0</v>
      </c>
      <c r="BH161" s="669">
        <f t="shared" si="273"/>
        <v>0</v>
      </c>
      <c r="BI161" s="669">
        <f t="shared" si="274"/>
        <v>0</v>
      </c>
      <c r="BJ161" s="669">
        <f t="shared" si="275"/>
        <v>0</v>
      </c>
      <c r="BK161" s="627"/>
      <c r="BL161" s="678" t="str">
        <f t="shared" si="276"/>
        <v>No Prog ni Ejec</v>
      </c>
      <c r="BM161" s="678" t="str">
        <f t="shared" si="277"/>
        <v>No Prog ni Ejec</v>
      </c>
      <c r="BN161" s="678" t="str">
        <f t="shared" si="278"/>
        <v>No Prog ni Ejec</v>
      </c>
      <c r="BO161" s="678" t="str">
        <f t="shared" si="279"/>
        <v>No Prog ni Ejec</v>
      </c>
      <c r="BP161" s="678" t="str">
        <f t="shared" si="280"/>
        <v>No Prog ni Ejec</v>
      </c>
      <c r="BQ161" s="678" t="str">
        <f t="shared" si="281"/>
        <v>No Prog ni Ejec</v>
      </c>
      <c r="BR161" s="678">
        <f t="shared" si="282"/>
        <v>0</v>
      </c>
      <c r="BS161" s="678">
        <f t="shared" si="283"/>
        <v>0</v>
      </c>
      <c r="BT161" s="722">
        <f t="shared" si="294"/>
        <v>0</v>
      </c>
      <c r="BU161" s="725" t="str">
        <f t="shared" si="292"/>
        <v>Implementar las NIIF de acuerdo con la Resolución 553, el instructivo 002 de 2015 y sus modificaciones.</v>
      </c>
      <c r="BV161" s="732">
        <f t="shared" si="295"/>
        <v>0</v>
      </c>
      <c r="BW161" s="627"/>
      <c r="BX161" s="627"/>
      <c r="BY161" s="627"/>
      <c r="BZ161" s="627"/>
      <c r="CA161" s="627"/>
      <c r="CB161" s="627"/>
      <c r="CC161" s="627"/>
      <c r="CD161" s="428" t="s">
        <v>1214</v>
      </c>
    </row>
    <row r="162" spans="1:82" x14ac:dyDescent="0.25">
      <c r="A162" s="163"/>
      <c r="B162" s="163"/>
      <c r="C162" s="163"/>
      <c r="D162" s="163"/>
      <c r="E162" s="163"/>
      <c r="F162" s="163"/>
      <c r="G162" s="467"/>
      <c r="H162" s="163"/>
      <c r="I162" s="163"/>
      <c r="J162" s="163"/>
      <c r="K162" s="146"/>
      <c r="L162" s="163"/>
      <c r="M162" s="163"/>
      <c r="N162" s="163"/>
      <c r="O162" s="163"/>
      <c r="P162" s="163"/>
      <c r="Q162" s="163"/>
      <c r="R162" s="163"/>
      <c r="S162" s="163"/>
      <c r="T162" s="163"/>
      <c r="U162" s="163"/>
      <c r="V162" s="163"/>
      <c r="W162" s="163"/>
      <c r="X162" s="466"/>
      <c r="Y162" s="466"/>
      <c r="Z162" s="466"/>
      <c r="AA162" s="466"/>
      <c r="AB162" s="466"/>
      <c r="AC162" s="466"/>
      <c r="AD162" s="466"/>
      <c r="AE162" s="466"/>
      <c r="AF162" s="466"/>
      <c r="AG162" s="466"/>
      <c r="AH162" s="466"/>
      <c r="AI162" s="466"/>
      <c r="AJ162" s="466"/>
      <c r="AK162" s="466"/>
      <c r="AL162" s="466"/>
      <c r="AM162" s="466"/>
      <c r="AN162" s="466"/>
      <c r="AO162" s="466"/>
      <c r="AP162" s="466"/>
      <c r="AQ162" s="466"/>
      <c r="AR162" s="466"/>
      <c r="AS162" s="466"/>
      <c r="AT162" s="466"/>
      <c r="AU162" s="466"/>
      <c r="AV162" s="466"/>
      <c r="AW162" s="466"/>
      <c r="AX162" s="466"/>
      <c r="AY162" s="466"/>
      <c r="AZ162" s="466"/>
      <c r="BA162" s="466"/>
      <c r="BB162" s="466"/>
      <c r="BC162" s="466"/>
      <c r="BD162" s="466"/>
      <c r="BE162" s="466"/>
      <c r="BF162" s="466"/>
      <c r="BG162" s="466"/>
      <c r="BH162" s="466"/>
      <c r="BI162" s="466"/>
      <c r="BJ162" s="466"/>
      <c r="BK162" s="466"/>
      <c r="BL162" s="466"/>
      <c r="BM162" s="466"/>
      <c r="BN162" s="466"/>
      <c r="BO162" s="466"/>
      <c r="BP162" s="466"/>
      <c r="BQ162" s="466"/>
      <c r="BR162" s="466"/>
      <c r="BS162" s="466"/>
      <c r="BT162" s="466"/>
      <c r="BU162" s="466"/>
      <c r="BV162" s="466"/>
      <c r="BW162" s="466"/>
      <c r="BX162" s="466"/>
      <c r="BY162" s="466"/>
      <c r="BZ162" s="466"/>
      <c r="CA162" s="466"/>
      <c r="CB162" s="466"/>
      <c r="CC162" s="466"/>
    </row>
    <row r="163" spans="1:82" x14ac:dyDescent="0.25">
      <c r="A163" s="163"/>
      <c r="B163" s="765" t="s">
        <v>1217</v>
      </c>
      <c r="C163" s="767">
        <f>+K94</f>
        <v>9619731853.8699989</v>
      </c>
      <c r="D163" s="766" t="s">
        <v>1216</v>
      </c>
      <c r="G163"/>
      <c r="I163" s="751"/>
      <c r="L163" s="163"/>
      <c r="M163" s="163"/>
      <c r="N163" s="163"/>
      <c r="O163" s="163"/>
      <c r="P163" s="163"/>
      <c r="Q163" s="163"/>
      <c r="R163" s="163"/>
      <c r="S163" s="163"/>
      <c r="T163" s="163"/>
      <c r="U163" s="163"/>
      <c r="V163" s="163"/>
      <c r="W163" s="163"/>
      <c r="X163" s="466"/>
      <c r="Y163" s="466"/>
      <c r="Z163" s="466"/>
      <c r="AA163" s="466"/>
      <c r="AB163" s="466"/>
      <c r="AC163" s="466"/>
      <c r="AD163" s="466"/>
      <c r="AE163" s="466"/>
      <c r="AF163" s="466"/>
      <c r="AG163" s="466"/>
      <c r="AH163" s="466"/>
      <c r="AI163" s="466"/>
      <c r="AJ163" s="466"/>
      <c r="AK163" s="466"/>
      <c r="AL163" s="466"/>
      <c r="AM163" s="466"/>
      <c r="AN163" s="466"/>
      <c r="AO163" s="466"/>
      <c r="AP163" s="466"/>
      <c r="AQ163" s="466"/>
      <c r="AR163" s="466"/>
      <c r="AS163" s="466"/>
      <c r="AT163" s="466"/>
      <c r="AU163" s="466"/>
      <c r="AV163" s="466"/>
      <c r="AW163" s="466"/>
      <c r="AX163" s="466"/>
      <c r="AY163" s="466"/>
      <c r="AZ163" s="466"/>
      <c r="BA163" s="466"/>
      <c r="BB163" s="466"/>
      <c r="BC163" s="466"/>
      <c r="BD163" s="466"/>
      <c r="BE163" s="466"/>
      <c r="BF163" s="466"/>
      <c r="BG163" s="466"/>
      <c r="BH163" s="466"/>
      <c r="BI163" s="466"/>
      <c r="BJ163" s="466"/>
      <c r="BK163" s="466"/>
      <c r="BL163" s="466"/>
      <c r="BM163" s="466"/>
      <c r="BN163" s="466"/>
      <c r="BO163" s="466"/>
      <c r="BP163" s="466"/>
      <c r="BQ163" s="466"/>
      <c r="BR163" s="466"/>
      <c r="BS163" s="466"/>
      <c r="BT163" s="466"/>
      <c r="BU163" s="466"/>
      <c r="BV163" s="466"/>
      <c r="BW163" s="466"/>
      <c r="BX163" s="466"/>
      <c r="BY163" s="466"/>
      <c r="BZ163" s="466"/>
      <c r="CA163" s="466"/>
      <c r="CB163" s="466"/>
      <c r="CC163" s="466"/>
    </row>
    <row r="164" spans="1:82" ht="43.5" customHeight="1" x14ac:dyDescent="0.25">
      <c r="A164" s="163"/>
      <c r="B164" s="966" t="s">
        <v>1095</v>
      </c>
      <c r="C164" s="966"/>
      <c r="D164" s="966"/>
      <c r="E164" s="966"/>
      <c r="F164" s="966"/>
      <c r="G164" s="966"/>
      <c r="H164" s="966"/>
      <c r="I164" s="966"/>
      <c r="L164" s="163"/>
      <c r="M164" s="163"/>
      <c r="N164" s="163"/>
      <c r="O164" s="163"/>
      <c r="P164" s="163"/>
      <c r="Q164" s="163"/>
      <c r="R164" s="163"/>
      <c r="S164" s="163"/>
      <c r="T164" s="163"/>
      <c r="U164" s="163"/>
      <c r="V164" s="163"/>
      <c r="W164" s="163"/>
      <c r="X164" s="466"/>
      <c r="Y164" s="466"/>
      <c r="Z164" s="466"/>
      <c r="AA164" s="466"/>
      <c r="AB164" s="466"/>
      <c r="AC164" s="466"/>
      <c r="AD164" s="466"/>
      <c r="AE164" s="466"/>
      <c r="AF164" s="466"/>
      <c r="AG164" s="466"/>
      <c r="AH164" s="466"/>
      <c r="AI164" s="466"/>
      <c r="AJ164" s="466"/>
      <c r="AK164" s="466"/>
      <c r="AL164" s="466"/>
      <c r="AM164" s="466"/>
      <c r="AN164" s="466"/>
      <c r="AO164" s="466"/>
      <c r="AP164" s="466"/>
      <c r="AQ164" s="466"/>
      <c r="AR164" s="466"/>
      <c r="AS164" s="466"/>
      <c r="AT164" s="466"/>
      <c r="AU164" s="466"/>
      <c r="AV164" s="466"/>
      <c r="AW164" s="466"/>
      <c r="AX164" s="466"/>
      <c r="AY164" s="466"/>
      <c r="AZ164" s="466"/>
      <c r="BA164" s="466"/>
      <c r="BB164" s="466"/>
      <c r="BC164" s="466"/>
      <c r="BD164" s="466"/>
      <c r="BE164" s="466"/>
      <c r="BF164" s="466"/>
      <c r="BG164" s="466"/>
      <c r="BH164" s="466"/>
      <c r="BI164" s="466"/>
      <c r="BJ164" s="466"/>
      <c r="BK164" s="466"/>
      <c r="BL164" s="466"/>
      <c r="BM164" s="466"/>
      <c r="BN164" s="466"/>
      <c r="BO164" s="466"/>
      <c r="BP164" s="466"/>
      <c r="BQ164" s="466"/>
      <c r="BR164" s="466"/>
      <c r="BS164" s="466"/>
      <c r="BT164" s="466"/>
      <c r="BU164" s="466"/>
      <c r="BV164" s="466"/>
      <c r="BW164" s="466"/>
      <c r="BX164" s="466"/>
      <c r="BY164" s="466"/>
      <c r="BZ164" s="466"/>
      <c r="CA164" s="466"/>
      <c r="CB164" s="466"/>
      <c r="CC164" s="466"/>
    </row>
    <row r="165" spans="1:82" ht="30" customHeight="1" x14ac:dyDescent="0.25">
      <c r="A165" s="163"/>
      <c r="B165" s="966" t="s">
        <v>1108</v>
      </c>
      <c r="C165" s="966"/>
      <c r="D165" s="966"/>
      <c r="E165" s="966"/>
      <c r="F165" s="966"/>
      <c r="G165" s="966"/>
      <c r="H165" s="966"/>
      <c r="I165" s="966"/>
      <c r="J165" t="s">
        <v>1096</v>
      </c>
      <c r="K165" s="689">
        <f>42726949922000+123940944854</f>
        <v>42850890866854</v>
      </c>
      <c r="L165" s="163"/>
      <c r="M165" s="163"/>
      <c r="N165" s="163"/>
      <c r="O165" s="163"/>
      <c r="P165" s="163"/>
      <c r="Q165" s="163"/>
      <c r="R165" s="163"/>
      <c r="S165" s="163"/>
      <c r="T165" s="163"/>
      <c r="U165" s="163"/>
      <c r="V165" s="163"/>
      <c r="W165" s="163"/>
      <c r="X165" s="466"/>
      <c r="Y165" s="466"/>
      <c r="Z165" s="466"/>
      <c r="AA165" s="466"/>
      <c r="AB165" s="466"/>
      <c r="AC165" s="466"/>
      <c r="AD165" s="466"/>
      <c r="AE165" s="466"/>
      <c r="AF165" s="466"/>
      <c r="AG165" s="466"/>
      <c r="AH165" s="466"/>
      <c r="AI165" s="466"/>
      <c r="AJ165" s="163" t="s">
        <v>1102</v>
      </c>
      <c r="AL165" s="787">
        <f>SUM(AL8:AL161)</f>
        <v>11721749408882.402</v>
      </c>
      <c r="AM165" s="466"/>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6"/>
      <c r="BR165" s="466"/>
      <c r="BS165" s="466"/>
      <c r="BT165" s="466"/>
      <c r="BU165" s="466"/>
      <c r="BV165" s="466"/>
      <c r="BW165" s="466"/>
      <c r="BX165" s="466"/>
      <c r="BY165" s="466"/>
      <c r="BZ165" s="466"/>
      <c r="CA165" s="466"/>
      <c r="CB165" s="466"/>
      <c r="CC165" s="466"/>
    </row>
    <row r="166" spans="1:82" x14ac:dyDescent="0.25">
      <c r="A166" s="163"/>
      <c r="B166" s="163"/>
      <c r="C166" s="163"/>
      <c r="D166" s="163"/>
      <c r="E166" s="163"/>
      <c r="F166" s="163"/>
      <c r="G166" s="467"/>
      <c r="H166" s="163"/>
      <c r="I166" s="163"/>
      <c r="J166" t="s">
        <v>1097</v>
      </c>
      <c r="K166" s="689">
        <v>42726949922000</v>
      </c>
      <c r="L166" s="163"/>
      <c r="M166" s="163"/>
      <c r="N166" s="163"/>
      <c r="O166" s="163"/>
      <c r="P166" s="163"/>
      <c r="Q166" s="163"/>
      <c r="R166" s="163"/>
      <c r="S166" s="163"/>
      <c r="T166" s="163"/>
      <c r="U166" s="163"/>
      <c r="V166" s="689">
        <f>SUBTOTAL(9,V8:V161)</f>
        <v>43252545185816.609</v>
      </c>
      <c r="W166" s="163"/>
      <c r="X166" s="466"/>
      <c r="Y166" s="466"/>
      <c r="Z166" s="163" t="s">
        <v>1105</v>
      </c>
      <c r="AB166" s="734">
        <f>SUM(AB9:AB161)</f>
        <v>10758520797066.068</v>
      </c>
      <c r="AC166" s="466"/>
      <c r="AD166" s="466"/>
      <c r="AE166" s="466"/>
      <c r="AF166" s="466"/>
      <c r="AG166" s="466"/>
      <c r="AH166" s="466"/>
      <c r="AI166" s="466"/>
      <c r="AJ166" t="s">
        <v>1104</v>
      </c>
      <c r="AL166" s="734">
        <v>18686919435.959999</v>
      </c>
      <c r="AM166" s="788">
        <f>+AL165-AL166-AL167</f>
        <v>-279608863.95898438</v>
      </c>
      <c r="AN166" s="790">
        <v>279608864</v>
      </c>
      <c r="AO166" s="789">
        <f>+AM166+AN166</f>
        <v>4.1015625E-2</v>
      </c>
      <c r="AQ166" s="790"/>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6"/>
      <c r="BR166" s="466"/>
      <c r="BS166" s="466"/>
      <c r="BT166" s="466"/>
      <c r="BU166" s="466"/>
      <c r="BV166" s="466"/>
      <c r="BW166" s="466"/>
      <c r="BX166" s="466"/>
      <c r="BY166" s="466"/>
      <c r="BZ166" s="466"/>
      <c r="CA166" s="466"/>
      <c r="CB166" s="466"/>
      <c r="CC166" s="466"/>
    </row>
    <row r="167" spans="1:82" x14ac:dyDescent="0.25">
      <c r="J167" t="s">
        <v>1098</v>
      </c>
      <c r="K167" s="690">
        <v>123940944854</v>
      </c>
      <c r="V167" s="689">
        <v>123940944854</v>
      </c>
      <c r="Z167" t="s">
        <v>1106</v>
      </c>
      <c r="AB167" s="734">
        <v>10741284867605.9</v>
      </c>
      <c r="AJ167" t="s">
        <v>1103</v>
      </c>
      <c r="AL167" s="734">
        <v>11703342098310.4</v>
      </c>
      <c r="AP167" s="791"/>
    </row>
    <row r="168" spans="1:82" x14ac:dyDescent="0.25">
      <c r="V168" s="690">
        <f>+V166-V167</f>
        <v>43128604240962.609</v>
      </c>
      <c r="Z168" t="s">
        <v>1107</v>
      </c>
      <c r="AB168" s="734">
        <v>17235928559.849998</v>
      </c>
      <c r="AO168" s="734"/>
      <c r="AP168" s="791"/>
    </row>
    <row r="169" spans="1:82" x14ac:dyDescent="0.25">
      <c r="AJ169"/>
    </row>
    <row r="170" spans="1:82" x14ac:dyDescent="0.25">
      <c r="J170" s="163" t="s">
        <v>1099</v>
      </c>
      <c r="K170" s="689">
        <f>SUBTOTAL(9,K8:K161)</f>
        <v>43252545185816.609</v>
      </c>
      <c r="AB170" s="734"/>
    </row>
    <row r="171" spans="1:82" x14ac:dyDescent="0.25">
      <c r="J171" t="s">
        <v>1100</v>
      </c>
      <c r="K171" s="690">
        <f>+K170-K172</f>
        <v>43128604240962.609</v>
      </c>
      <c r="AB171" s="734"/>
    </row>
    <row r="172" spans="1:82" x14ac:dyDescent="0.25">
      <c r="J172" t="s">
        <v>1101</v>
      </c>
      <c r="K172" s="689">
        <v>123940944854</v>
      </c>
    </row>
    <row r="173" spans="1:82" x14ac:dyDescent="0.25">
      <c r="V173" t="s">
        <v>738</v>
      </c>
    </row>
    <row r="175" spans="1:82" x14ac:dyDescent="0.25">
      <c r="A175" s="848" t="s">
        <v>1147</v>
      </c>
    </row>
    <row r="177" spans="1:12" x14ac:dyDescent="0.25">
      <c r="A177" s="849" t="s">
        <v>1148</v>
      </c>
      <c r="B177" s="963" t="s">
        <v>1149</v>
      </c>
      <c r="C177" s="963"/>
      <c r="D177" s="963"/>
      <c r="E177" s="963"/>
      <c r="F177" s="963"/>
      <c r="G177" s="963"/>
      <c r="H177" s="963"/>
      <c r="I177" s="963"/>
      <c r="J177" s="963"/>
      <c r="K177" s="963"/>
      <c r="L177" s="963"/>
    </row>
    <row r="178" spans="1:12" ht="123.75" customHeight="1" x14ac:dyDescent="0.25">
      <c r="A178" s="850" t="s">
        <v>89</v>
      </c>
      <c r="B178" s="962" t="s">
        <v>1151</v>
      </c>
      <c r="C178" s="962"/>
      <c r="D178" s="962"/>
      <c r="E178" s="962"/>
      <c r="F178" s="962"/>
      <c r="G178" s="962"/>
      <c r="H178" s="962"/>
      <c r="I178" s="962"/>
      <c r="J178" s="962"/>
      <c r="K178" s="962"/>
      <c r="L178" s="962"/>
    </row>
    <row r="179" spans="1:12" ht="289.5" customHeight="1" x14ac:dyDescent="0.25">
      <c r="A179" s="965" t="s">
        <v>1150</v>
      </c>
      <c r="B179" s="962" t="s">
        <v>1179</v>
      </c>
      <c r="C179" s="962"/>
      <c r="D179" s="962"/>
      <c r="E179" s="962"/>
      <c r="F179" s="962"/>
      <c r="G179" s="962"/>
      <c r="H179" s="962"/>
      <c r="I179" s="962"/>
      <c r="J179" s="962"/>
      <c r="K179" s="962"/>
      <c r="L179" s="962"/>
    </row>
    <row r="180" spans="1:12" ht="210.75" customHeight="1" x14ac:dyDescent="0.25">
      <c r="A180" s="965"/>
      <c r="B180" s="962" t="s">
        <v>1200</v>
      </c>
      <c r="C180" s="962"/>
      <c r="D180" s="962"/>
      <c r="E180" s="962"/>
      <c r="F180" s="962"/>
      <c r="G180" s="962"/>
      <c r="H180" s="962"/>
      <c r="I180" s="962"/>
      <c r="J180" s="962"/>
      <c r="K180" s="962"/>
      <c r="L180" s="962"/>
    </row>
    <row r="181" spans="1:12" ht="61.5" customHeight="1" x14ac:dyDescent="0.25">
      <c r="A181" s="965"/>
      <c r="B181" s="962" t="s">
        <v>1201</v>
      </c>
      <c r="C181" s="962"/>
      <c r="D181" s="962"/>
      <c r="E181" s="962"/>
      <c r="F181" s="962"/>
      <c r="G181" s="962"/>
      <c r="H181" s="962"/>
      <c r="I181" s="962"/>
      <c r="J181" s="962"/>
      <c r="K181" s="962"/>
      <c r="L181" s="962"/>
    </row>
    <row r="182" spans="1:12" ht="57.75" customHeight="1" x14ac:dyDescent="0.25">
      <c r="B182" s="964"/>
      <c r="C182" s="964"/>
      <c r="D182" s="964"/>
      <c r="E182" s="964"/>
      <c r="F182" s="964"/>
      <c r="G182" s="964"/>
      <c r="H182" s="964"/>
      <c r="I182" s="964"/>
      <c r="J182" s="964"/>
      <c r="K182" s="964"/>
      <c r="L182" s="964"/>
    </row>
  </sheetData>
  <autoFilter ref="A7:BT167" xr:uid="{00000000-0009-0000-0000-000002000000}"/>
  <mergeCells count="202">
    <mergeCell ref="BC148:BC149"/>
    <mergeCell ref="B165:I165"/>
    <mergeCell ref="AH6:AQ6"/>
    <mergeCell ref="AR6:BA6"/>
    <mergeCell ref="BL6:BS6"/>
    <mergeCell ref="BB6:BK6"/>
    <mergeCell ref="BT6:CC6"/>
    <mergeCell ref="A1:B3"/>
    <mergeCell ref="C1:E1"/>
    <mergeCell ref="F1:BN1"/>
    <mergeCell ref="BO1:BS3"/>
    <mergeCell ref="C2:E2"/>
    <mergeCell ref="F2:F3"/>
    <mergeCell ref="G2:BL3"/>
    <mergeCell ref="BM2:BM3"/>
    <mergeCell ref="BN2:BN3"/>
    <mergeCell ref="C3:E3"/>
    <mergeCell ref="D5:M5"/>
    <mergeCell ref="X6:AG6"/>
    <mergeCell ref="BO132:BO134"/>
    <mergeCell ref="BQ132:BQ134"/>
    <mergeCell ref="BS132:BS134"/>
    <mergeCell ref="AF132:AF134"/>
    <mergeCell ref="E9:E11"/>
    <mergeCell ref="J9:J11"/>
    <mergeCell ref="BH146:BH147"/>
    <mergeCell ref="K9:K11"/>
    <mergeCell ref="L9:L11"/>
    <mergeCell ref="M9:M11"/>
    <mergeCell ref="AL126:AL130"/>
    <mergeCell ref="F9:F11"/>
    <mergeCell ref="L126:L130"/>
    <mergeCell ref="E148:E149"/>
    <mergeCell ref="AL9:AL11"/>
    <mergeCell ref="I9:I11"/>
    <mergeCell ref="J137:J138"/>
    <mergeCell ref="M68:M69"/>
    <mergeCell ref="AL132:AL134"/>
    <mergeCell ref="AJ132:AJ134"/>
    <mergeCell ref="M148:M149"/>
    <mergeCell ref="E137:E138"/>
    <mergeCell ref="E146:E147"/>
    <mergeCell ref="AD126:AD130"/>
    <mergeCell ref="AF126:AF130"/>
    <mergeCell ref="P146:P147"/>
    <mergeCell ref="W146:W147"/>
    <mergeCell ref="AB9:AB11"/>
    <mergeCell ref="N148:N149"/>
    <mergeCell ref="N137:N138"/>
    <mergeCell ref="O9:O11"/>
    <mergeCell ref="AF9:AF11"/>
    <mergeCell ref="AI9:AI11"/>
    <mergeCell ref="U9:U11"/>
    <mergeCell ref="V9:V11"/>
    <mergeCell ref="W9:W11"/>
    <mergeCell ref="Y9:Y11"/>
    <mergeCell ref="Z9:Z11"/>
    <mergeCell ref="W148:W149"/>
    <mergeCell ref="Z126:Z130"/>
    <mergeCell ref="O137:O138"/>
    <mergeCell ref="G137:G138"/>
    <mergeCell ref="N146:N147"/>
    <mergeCell ref="AX146:AX147"/>
    <mergeCell ref="AP132:AP134"/>
    <mergeCell ref="O148:O149"/>
    <mergeCell ref="P148:P149"/>
    <mergeCell ref="AQ148:AQ149"/>
    <mergeCell ref="I148:I149"/>
    <mergeCell ref="J148:J149"/>
    <mergeCell ref="M146:M147"/>
    <mergeCell ref="K146:K147"/>
    <mergeCell ref="G148:G149"/>
    <mergeCell ref="J146:J147"/>
    <mergeCell ref="K137:K138"/>
    <mergeCell ref="M137:M138"/>
    <mergeCell ref="Q148:Q149"/>
    <mergeCell ref="AN132:AN134"/>
    <mergeCell ref="AV132:AV134"/>
    <mergeCell ref="AX132:AX134"/>
    <mergeCell ref="AQ146:AQ147"/>
    <mergeCell ref="I137:I138"/>
    <mergeCell ref="AS148:AS149"/>
    <mergeCell ref="F137:F138"/>
    <mergeCell ref="Q137:Q138"/>
    <mergeCell ref="P137:P138"/>
    <mergeCell ref="AS9:AS11"/>
    <mergeCell ref="V126:V130"/>
    <mergeCell ref="AL148:AL149"/>
    <mergeCell ref="BO148:BO149"/>
    <mergeCell ref="BQ148:BQ149"/>
    <mergeCell ref="W68:W69"/>
    <mergeCell ref="K132:K134"/>
    <mergeCell ref="AB132:AB134"/>
    <mergeCell ref="P9:P11"/>
    <mergeCell ref="Q9:Q11"/>
    <mergeCell ref="AP146:AP147"/>
    <mergeCell ref="AX9:AX11"/>
    <mergeCell ref="U148:U149"/>
    <mergeCell ref="V148:V149"/>
    <mergeCell ref="Q146:Q147"/>
    <mergeCell ref="U146:U147"/>
    <mergeCell ref="V146:V147"/>
    <mergeCell ref="BD146:BD147"/>
    <mergeCell ref="AS146:AS147"/>
    <mergeCell ref="AT146:AT147"/>
    <mergeCell ref="AZ146:AZ147"/>
    <mergeCell ref="BM148:BM149"/>
    <mergeCell ref="AJ126:AJ130"/>
    <mergeCell ref="AN126:AN130"/>
    <mergeCell ref="AP126:AP130"/>
    <mergeCell ref="BH148:BH149"/>
    <mergeCell ref="N68:N69"/>
    <mergeCell ref="O68:O69"/>
    <mergeCell ref="P68:P69"/>
    <mergeCell ref="N9:N11"/>
    <mergeCell ref="AG146:AG147"/>
    <mergeCell ref="AD9:AD11"/>
    <mergeCell ref="BJ148:BJ149"/>
    <mergeCell ref="O146:O147"/>
    <mergeCell ref="AZ9:AZ11"/>
    <mergeCell ref="AB126:AB130"/>
    <mergeCell ref="AD148:AD149"/>
    <mergeCell ref="AF148:AF149"/>
    <mergeCell ref="AN148:AN149"/>
    <mergeCell ref="AP148:AP149"/>
    <mergeCell ref="AX148:AX149"/>
    <mergeCell ref="AZ148:AZ149"/>
    <mergeCell ref="Q68:Q69"/>
    <mergeCell ref="R68:R69"/>
    <mergeCell ref="S68:S69"/>
    <mergeCell ref="BU146:BU147"/>
    <mergeCell ref="BC146:BC147"/>
    <mergeCell ref="BD9:BD11"/>
    <mergeCell ref="AJ9:AJ11"/>
    <mergeCell ref="BJ9:BJ11"/>
    <mergeCell ref="BM9:BM11"/>
    <mergeCell ref="AV9:AV11"/>
    <mergeCell ref="AT9:AT11"/>
    <mergeCell ref="BC9:BC11"/>
    <mergeCell ref="AP9:AP11"/>
    <mergeCell ref="BM126:BM130"/>
    <mergeCell ref="BO126:BO130"/>
    <mergeCell ref="BQ126:BQ130"/>
    <mergeCell ref="BO146:BO147"/>
    <mergeCell ref="BQ146:BQ147"/>
    <mergeCell ref="AN146:AN147"/>
    <mergeCell ref="BJ146:BJ147"/>
    <mergeCell ref="BM146:BM147"/>
    <mergeCell ref="BM132:BM134"/>
    <mergeCell ref="BJ132:BJ134"/>
    <mergeCell ref="AN9:AN11"/>
    <mergeCell ref="BF132:BF134"/>
    <mergeCell ref="BH132:BH134"/>
    <mergeCell ref="AZ132:AZ134"/>
    <mergeCell ref="BU148:BU149"/>
    <mergeCell ref="BQ9:BQ11"/>
    <mergeCell ref="BS9:BS11"/>
    <mergeCell ref="BO9:BO11"/>
    <mergeCell ref="Y146:Y147"/>
    <mergeCell ref="Y148:Y149"/>
    <mergeCell ref="Z146:Z147"/>
    <mergeCell ref="Z148:Z149"/>
    <mergeCell ref="AB146:AB147"/>
    <mergeCell ref="AB148:AB149"/>
    <mergeCell ref="AD146:AD147"/>
    <mergeCell ref="AF146:AF147"/>
    <mergeCell ref="AI146:AI147"/>
    <mergeCell ref="AJ146:AJ147"/>
    <mergeCell ref="AL146:AL147"/>
    <mergeCell ref="BF9:BF11"/>
    <mergeCell ref="BH9:BH11"/>
    <mergeCell ref="BS126:BS130"/>
    <mergeCell ref="Z132:Z134"/>
    <mergeCell ref="BS146:BS147"/>
    <mergeCell ref="BS148:BS149"/>
    <mergeCell ref="AD132:AD134"/>
    <mergeCell ref="AI148:AI149"/>
    <mergeCell ref="BU9:BU11"/>
    <mergeCell ref="B178:L178"/>
    <mergeCell ref="B179:L179"/>
    <mergeCell ref="B177:L177"/>
    <mergeCell ref="B180:L180"/>
    <mergeCell ref="B181:L181"/>
    <mergeCell ref="B182:L182"/>
    <mergeCell ref="A179:A181"/>
    <mergeCell ref="B164:I164"/>
    <mergeCell ref="A68:A69"/>
    <mergeCell ref="B68:B69"/>
    <mergeCell ref="C68:C69"/>
    <mergeCell ref="D68:D69"/>
    <mergeCell ref="E68:E69"/>
    <mergeCell ref="F68:F69"/>
    <mergeCell ref="G68:G69"/>
    <mergeCell ref="H68:H69"/>
    <mergeCell ref="F150:F152"/>
    <mergeCell ref="K148:K149"/>
    <mergeCell ref="K126:K130"/>
    <mergeCell ref="L132:L134"/>
    <mergeCell ref="F148:F149"/>
    <mergeCell ref="F146:F147"/>
    <mergeCell ref="G146:G147"/>
    <mergeCell ref="I146:I147"/>
  </mergeCells>
  <conditionalFormatting sqref="BL8:BS9 BL113:BS126 BL132:BS132 BL135:BS141 BL10:BL11 BN10:BN11 BP10:BP11 BR10:BR11 BL12:BS67 BL143:BS146 BL148:BS148 BL147 BN147 BL133:BL134 BN133:BN134 BP133:BP134 BR133:BR134 BL127:BL131 BN127:BN131 BP127:BP131 BR127:BR131 BL150:BS154 BL70:BS79 BL89:BS110 BR147 BP147">
    <cfRule type="cellIs" dxfId="12097" priority="152" operator="equal">
      <formula>#REF!</formula>
    </cfRule>
    <cfRule type="cellIs" dxfId="12096" priority="153" operator="greaterThan">
      <formula>1</formula>
    </cfRule>
    <cfRule type="cellIs" dxfId="12095" priority="154" operator="equal">
      <formula>100%</formula>
    </cfRule>
    <cfRule type="cellIs" dxfId="12094" priority="155" operator="between">
      <formula>80%</formula>
      <formula>99%</formula>
    </cfRule>
    <cfRule type="cellIs" dxfId="12093" priority="156" operator="between">
      <formula>0%</formula>
      <formula>79%</formula>
    </cfRule>
  </conditionalFormatting>
  <conditionalFormatting sqref="BL142:BS142">
    <cfRule type="cellIs" dxfId="12092" priority="134" operator="between">
      <formula>51%</formula>
      <formula>75%</formula>
    </cfRule>
    <cfRule type="cellIs" dxfId="12091" priority="135" operator="greaterThan">
      <formula>1</formula>
    </cfRule>
    <cfRule type="cellIs" dxfId="12090" priority="136" operator="equal">
      <formula>100%</formula>
    </cfRule>
    <cfRule type="cellIs" dxfId="12089" priority="137" operator="between">
      <formula>76%</formula>
      <formula>95%</formula>
    </cfRule>
    <cfRule type="cellIs" dxfId="12088" priority="138" operator="between">
      <formula>0%</formula>
      <formula>50%</formula>
    </cfRule>
  </conditionalFormatting>
  <conditionalFormatting sqref="BL111:BS112">
    <cfRule type="cellIs" dxfId="12087" priority="128" operator="between">
      <formula>51%</formula>
      <formula>75%</formula>
    </cfRule>
    <cfRule type="cellIs" dxfId="12086" priority="129" operator="greaterThan">
      <formula>1</formula>
    </cfRule>
    <cfRule type="cellIs" dxfId="12085" priority="130" operator="equal">
      <formula>100%</formula>
    </cfRule>
    <cfRule type="cellIs" dxfId="12084" priority="131" operator="between">
      <formula>80%</formula>
      <formula>99%</formula>
    </cfRule>
    <cfRule type="cellIs" dxfId="12083" priority="132" operator="between">
      <formula>0%</formula>
      <formula>79%</formula>
    </cfRule>
  </conditionalFormatting>
  <conditionalFormatting sqref="BL149 BN149 BP149 BR149">
    <cfRule type="cellIs" dxfId="12082" priority="122" operator="equal">
      <formula>#REF!</formula>
    </cfRule>
    <cfRule type="cellIs" dxfId="12081" priority="123" operator="greaterThan">
      <formula>1</formula>
    </cfRule>
    <cfRule type="cellIs" dxfId="12080" priority="124" operator="equal">
      <formula>100%</formula>
    </cfRule>
    <cfRule type="cellIs" dxfId="12079" priority="125" operator="between">
      <formula>80%</formula>
      <formula>99%</formula>
    </cfRule>
    <cfRule type="cellIs" dxfId="12078" priority="126" operator="between">
      <formula>0%</formula>
      <formula>79%</formula>
    </cfRule>
  </conditionalFormatting>
  <conditionalFormatting sqref="BL155:BS155">
    <cfRule type="cellIs" dxfId="12077" priority="116" operator="equal">
      <formula>#REF!</formula>
    </cfRule>
    <cfRule type="cellIs" dxfId="12076" priority="117" operator="greaterThan">
      <formula>1</formula>
    </cfRule>
    <cfRule type="cellIs" dxfId="12075" priority="118" operator="equal">
      <formula>100%</formula>
    </cfRule>
    <cfRule type="cellIs" dxfId="12074" priority="119" operator="between">
      <formula>80%</formula>
      <formula>99%</formula>
    </cfRule>
    <cfRule type="cellIs" dxfId="12073" priority="120" operator="between">
      <formula>0%</formula>
      <formula>79%</formula>
    </cfRule>
  </conditionalFormatting>
  <conditionalFormatting sqref="BL68:BS69">
    <cfRule type="cellIs" dxfId="12072" priority="110" operator="equal">
      <formula>#REF!</formula>
    </cfRule>
    <cfRule type="cellIs" dxfId="12071" priority="111" operator="greaterThan">
      <formula>1</formula>
    </cfRule>
    <cfRule type="cellIs" dxfId="12070" priority="112" operator="equal">
      <formula>100%</formula>
    </cfRule>
    <cfRule type="cellIs" dxfId="12069" priority="113" operator="between">
      <formula>80%</formula>
      <formula>99%</formula>
    </cfRule>
    <cfRule type="cellIs" dxfId="12068" priority="114" operator="between">
      <formula>0%</formula>
      <formula>79%</formula>
    </cfRule>
  </conditionalFormatting>
  <conditionalFormatting sqref="BM131">
    <cfRule type="cellIs" dxfId="12067" priority="104" operator="equal">
      <formula>#REF!</formula>
    </cfRule>
    <cfRule type="cellIs" dxfId="12066" priority="105" operator="greaterThan">
      <formula>1</formula>
    </cfRule>
    <cfRule type="cellIs" dxfId="12065" priority="106" operator="equal">
      <formula>100%</formula>
    </cfRule>
    <cfRule type="cellIs" dxfId="12064" priority="107" operator="between">
      <formula>80%</formula>
      <formula>99%</formula>
    </cfRule>
    <cfRule type="cellIs" dxfId="12063" priority="108" operator="between">
      <formula>0%</formula>
      <formula>79%</formula>
    </cfRule>
  </conditionalFormatting>
  <conditionalFormatting sqref="BO131">
    <cfRule type="cellIs" dxfId="12062" priority="98" operator="equal">
      <formula>#REF!</formula>
    </cfRule>
    <cfRule type="cellIs" dxfId="12061" priority="99" operator="greaterThan">
      <formula>1</formula>
    </cfRule>
    <cfRule type="cellIs" dxfId="12060" priority="100" operator="equal">
      <formula>100%</formula>
    </cfRule>
    <cfRule type="cellIs" dxfId="12059" priority="101" operator="between">
      <formula>80%</formula>
      <formula>99%</formula>
    </cfRule>
    <cfRule type="cellIs" dxfId="12058" priority="102" operator="between">
      <formula>0%</formula>
      <formula>79%</formula>
    </cfRule>
  </conditionalFormatting>
  <conditionalFormatting sqref="BQ131">
    <cfRule type="cellIs" dxfId="12057" priority="92" operator="equal">
      <formula>#REF!</formula>
    </cfRule>
    <cfRule type="cellIs" dxfId="12056" priority="93" operator="greaterThan">
      <formula>1</formula>
    </cfRule>
    <cfRule type="cellIs" dxfId="12055" priority="94" operator="equal">
      <formula>100%</formula>
    </cfRule>
    <cfRule type="cellIs" dxfId="12054" priority="95" operator="between">
      <formula>80%</formula>
      <formula>99%</formula>
    </cfRule>
    <cfRule type="cellIs" dxfId="12053" priority="96" operator="between">
      <formula>0%</formula>
      <formula>79%</formula>
    </cfRule>
  </conditionalFormatting>
  <conditionalFormatting sqref="BS131">
    <cfRule type="cellIs" dxfId="12052" priority="86" operator="equal">
      <formula>#REF!</formula>
    </cfRule>
    <cfRule type="cellIs" dxfId="12051" priority="87" operator="greaterThan">
      <formula>1</formula>
    </cfRule>
    <cfRule type="cellIs" dxfId="12050" priority="88" operator="equal">
      <formula>100%</formula>
    </cfRule>
    <cfRule type="cellIs" dxfId="12049" priority="89" operator="between">
      <formula>80%</formula>
      <formula>99%</formula>
    </cfRule>
    <cfRule type="cellIs" dxfId="12048" priority="90" operator="between">
      <formula>0%</formula>
      <formula>79%</formula>
    </cfRule>
  </conditionalFormatting>
  <conditionalFormatting sqref="BL156:BS156">
    <cfRule type="cellIs" dxfId="12047" priority="68" operator="equal">
      <formula>#REF!</formula>
    </cfRule>
    <cfRule type="cellIs" dxfId="12046" priority="69" operator="greaterThan">
      <formula>1</formula>
    </cfRule>
    <cfRule type="cellIs" dxfId="12045" priority="70" operator="equal">
      <formula>100%</formula>
    </cfRule>
    <cfRule type="cellIs" dxfId="12044" priority="71" operator="between">
      <formula>80%</formula>
      <formula>99%</formula>
    </cfRule>
    <cfRule type="cellIs" dxfId="12043" priority="72" operator="between">
      <formula>0%</formula>
      <formula>79%</formula>
    </cfRule>
  </conditionalFormatting>
  <conditionalFormatting sqref="BL80:BS80">
    <cfRule type="cellIs" dxfId="12042" priority="62" operator="equal">
      <formula>#REF!</formula>
    </cfRule>
    <cfRule type="cellIs" dxfId="12041" priority="63" operator="greaterThan">
      <formula>1</formula>
    </cfRule>
    <cfRule type="cellIs" dxfId="12040" priority="64" operator="equal">
      <formula>100%</formula>
    </cfRule>
    <cfRule type="cellIs" dxfId="12039" priority="65" operator="between">
      <formula>80%</formula>
      <formula>99%</formula>
    </cfRule>
    <cfRule type="cellIs" dxfId="12038" priority="66" operator="between">
      <formula>0%</formula>
      <formula>79%</formula>
    </cfRule>
  </conditionalFormatting>
  <conditionalFormatting sqref="BL81:BS82">
    <cfRule type="cellIs" dxfId="12037" priority="56" operator="equal">
      <formula>#REF!</formula>
    </cfRule>
    <cfRule type="cellIs" dxfId="12036" priority="57" operator="greaterThan">
      <formula>1</formula>
    </cfRule>
    <cfRule type="cellIs" dxfId="12035" priority="58" operator="equal">
      <formula>100%</formula>
    </cfRule>
    <cfRule type="cellIs" dxfId="12034" priority="59" operator="between">
      <formula>80%</formula>
      <formula>99%</formula>
    </cfRule>
    <cfRule type="cellIs" dxfId="12033" priority="60" operator="between">
      <formula>0%</formula>
      <formula>79%</formula>
    </cfRule>
  </conditionalFormatting>
  <conditionalFormatting sqref="BL83:BS83">
    <cfRule type="cellIs" dxfId="12032" priority="50" operator="equal">
      <formula>#REF!</formula>
    </cfRule>
    <cfRule type="cellIs" dxfId="12031" priority="51" operator="greaterThan">
      <formula>1</formula>
    </cfRule>
    <cfRule type="cellIs" dxfId="12030" priority="52" operator="equal">
      <formula>100%</formula>
    </cfRule>
    <cfRule type="cellIs" dxfId="12029" priority="53" operator="between">
      <formula>80%</formula>
      <formula>99%</formula>
    </cfRule>
    <cfRule type="cellIs" dxfId="12028" priority="54" operator="between">
      <formula>0%</formula>
      <formula>79%</formula>
    </cfRule>
  </conditionalFormatting>
  <conditionalFormatting sqref="BL84:BS84">
    <cfRule type="cellIs" dxfId="12027" priority="44" operator="equal">
      <formula>#REF!</formula>
    </cfRule>
    <cfRule type="cellIs" dxfId="12026" priority="45" operator="greaterThan">
      <formula>1</formula>
    </cfRule>
    <cfRule type="cellIs" dxfId="12025" priority="46" operator="equal">
      <formula>100%</formula>
    </cfRule>
    <cfRule type="cellIs" dxfId="12024" priority="47" operator="between">
      <formula>80%</formula>
      <formula>99%</formula>
    </cfRule>
    <cfRule type="cellIs" dxfId="12023" priority="48" operator="between">
      <formula>0%</formula>
      <formula>79%</formula>
    </cfRule>
  </conditionalFormatting>
  <conditionalFormatting sqref="BL85:BS85">
    <cfRule type="cellIs" dxfId="12022" priority="38" operator="equal">
      <formula>#REF!</formula>
    </cfRule>
    <cfRule type="cellIs" dxfId="12021" priority="39" operator="greaterThan">
      <formula>1</formula>
    </cfRule>
    <cfRule type="cellIs" dxfId="12020" priority="40" operator="equal">
      <formula>100%</formula>
    </cfRule>
    <cfRule type="cellIs" dxfId="12019" priority="41" operator="between">
      <formula>80%</formula>
      <formula>99%</formula>
    </cfRule>
    <cfRule type="cellIs" dxfId="12018" priority="42" operator="between">
      <formula>0%</formula>
      <formula>79%</formula>
    </cfRule>
  </conditionalFormatting>
  <conditionalFormatting sqref="BL86:BS88">
    <cfRule type="cellIs" dxfId="12017" priority="32" operator="equal">
      <formula>#REF!</formula>
    </cfRule>
    <cfRule type="cellIs" dxfId="12016" priority="33" operator="greaterThan">
      <formula>1</formula>
    </cfRule>
    <cfRule type="cellIs" dxfId="12015" priority="34" operator="equal">
      <formula>100%</formula>
    </cfRule>
    <cfRule type="cellIs" dxfId="12014" priority="35" operator="between">
      <formula>80%</formula>
      <formula>99%</formula>
    </cfRule>
    <cfRule type="cellIs" dxfId="12013" priority="36" operator="between">
      <formula>0%</formula>
      <formula>79%</formula>
    </cfRule>
  </conditionalFormatting>
  <conditionalFormatting sqref="BL157:BS157">
    <cfRule type="cellIs" dxfId="12012" priority="26" operator="equal">
      <formula>#REF!</formula>
    </cfRule>
    <cfRule type="cellIs" dxfId="12011" priority="27" operator="greaterThan">
      <formula>1</formula>
    </cfRule>
    <cfRule type="cellIs" dxfId="12010" priority="28" operator="equal">
      <formula>100%</formula>
    </cfRule>
    <cfRule type="cellIs" dxfId="12009" priority="29" operator="between">
      <formula>80%</formula>
      <formula>99%</formula>
    </cfRule>
    <cfRule type="cellIs" dxfId="12008" priority="30" operator="between">
      <formula>0%</formula>
      <formula>79%</formula>
    </cfRule>
  </conditionalFormatting>
  <conditionalFormatting sqref="BL158:BS158">
    <cfRule type="cellIs" dxfId="12007" priority="20" operator="equal">
      <formula>#REF!</formula>
    </cfRule>
    <cfRule type="cellIs" dxfId="12006" priority="21" operator="greaterThan">
      <formula>1</formula>
    </cfRule>
    <cfRule type="cellIs" dxfId="12005" priority="22" operator="equal">
      <formula>100%</formula>
    </cfRule>
    <cfRule type="cellIs" dxfId="12004" priority="23" operator="between">
      <formula>80%</formula>
      <formula>99%</formula>
    </cfRule>
    <cfRule type="cellIs" dxfId="12003" priority="24" operator="between">
      <formula>0%</formula>
      <formula>79%</formula>
    </cfRule>
  </conditionalFormatting>
  <conditionalFormatting sqref="AQ112:AQ113">
    <cfRule type="duplicateValues" dxfId="12002" priority="19"/>
  </conditionalFormatting>
  <conditionalFormatting sqref="BL160:BS160">
    <cfRule type="cellIs" dxfId="12001" priority="7" operator="equal">
      <formula>#REF!</formula>
    </cfRule>
    <cfRule type="cellIs" dxfId="12000" priority="8" operator="greaterThan">
      <formula>1</formula>
    </cfRule>
    <cfRule type="cellIs" dxfId="11999" priority="9" operator="equal">
      <formula>100%</formula>
    </cfRule>
    <cfRule type="cellIs" dxfId="11998" priority="10" operator="between">
      <formula>80%</formula>
      <formula>99%</formula>
    </cfRule>
    <cfRule type="cellIs" dxfId="11997" priority="11" operator="between">
      <formula>0%</formula>
      <formula>79%</formula>
    </cfRule>
  </conditionalFormatting>
  <conditionalFormatting sqref="BL159:BS159">
    <cfRule type="cellIs" dxfId="11996" priority="13" operator="equal">
      <formula>#REF!</formula>
    </cfRule>
    <cfRule type="cellIs" dxfId="11995" priority="14" operator="greaterThan">
      <formula>1</formula>
    </cfRule>
    <cfRule type="cellIs" dxfId="11994" priority="15" operator="equal">
      <formula>100%</formula>
    </cfRule>
    <cfRule type="cellIs" dxfId="11993" priority="16" operator="between">
      <formula>80%</formula>
      <formula>99%</formula>
    </cfRule>
    <cfRule type="cellIs" dxfId="11992" priority="17" operator="between">
      <formula>0%</formula>
      <formula>79%</formula>
    </cfRule>
  </conditionalFormatting>
  <conditionalFormatting sqref="BL161:BS161">
    <cfRule type="cellIs" dxfId="11991" priority="1" operator="equal">
      <formula>#REF!</formula>
    </cfRule>
    <cfRule type="cellIs" dxfId="11990" priority="2" operator="greaterThan">
      <formula>1</formula>
    </cfRule>
    <cfRule type="cellIs" dxfId="11989" priority="3" operator="equal">
      <formula>100%</formula>
    </cfRule>
    <cfRule type="cellIs" dxfId="11988" priority="4" operator="between">
      <formula>80%</formula>
      <formula>99%</formula>
    </cfRule>
    <cfRule type="cellIs" dxfId="11987" priority="5" operator="between">
      <formula>0%</formula>
      <formula>79%</formula>
    </cfRule>
  </conditionalFormatting>
  <dataValidations count="5">
    <dataValidation type="list" allowBlank="1" showInputMessage="1" showErrorMessage="1" sqref="R118:R121 R101:R104 R12:R44 R140:R143 R89:R92 R95:R98 R8 R114:R116 R46:R47 R52:R63" xr:uid="{00000000-0002-0000-0200-000000000000}">
      <formula1>$S$3:$S$57</formula1>
    </dataValidation>
    <dataValidation type="list" allowBlank="1" showInputMessage="1" showErrorMessage="1" sqref="R122:R124 R135:R136" xr:uid="{00000000-0002-0000-0200-000001000000}">
      <formula1>$S$3:$S$70</formula1>
    </dataValidation>
    <dataValidation type="list" allowBlank="1" showInputMessage="1" showErrorMessage="1" sqref="R105 R112 R138:R139 R149:R150 R152:R154" xr:uid="{00000000-0002-0000-0200-000002000000}">
      <formula1>$S$3:$S$71</formula1>
    </dataValidation>
    <dataValidation type="list" allowBlank="1" showInputMessage="1" showErrorMessage="1" sqref="R117 R70:R75" xr:uid="{00000000-0002-0000-0200-000003000000}">
      <formula1>$S$3:$S$75</formula1>
    </dataValidation>
    <dataValidation type="list" allowBlank="1" showInputMessage="1" showErrorMessage="1" sqref="R106 R9:R11" xr:uid="{00000000-0002-0000-0200-000004000000}">
      <formula1>$S$3:$S$77</formula1>
    </dataValidation>
  </dataValidations>
  <hyperlinks>
    <hyperlink ref="AQ13" r:id="rId1" display="https://www.adres.gov.co/Portals/0/manuales/GERC-C01%20Manual%20Operativo_Contabilidad_DGRFS.PDF?ver=2018-02-08-072450-163" xr:uid="{48F6A8FC-F655-4BF0-A4CE-82F44859D1D6}"/>
  </hyperlinks>
  <printOptions horizontalCentered="1"/>
  <pageMargins left="0.11811023622047245" right="0.11811023622047245" top="0.15748031496062992" bottom="0.15748031496062992" header="0.31496062992125984" footer="0.31496062992125984"/>
  <pageSetup paperSize="41" scale="45"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57" operator="containsText" id="{F67FCEFB-1651-46B0-8231-06091BCC6633}">
            <xm:f>NOT(ISERROR(SEARCH(#REF!,BL8)))</xm:f>
            <xm:f>#REF!</xm:f>
            <x14:dxf>
              <font>
                <color theme="4"/>
              </font>
              <fill>
                <patternFill>
                  <bgColor theme="5" tint="0.59996337778862885"/>
                </patternFill>
              </fill>
            </x14:dxf>
          </x14:cfRule>
          <xm:sqref>BL8:BS9 BL113:BS126 BL132:BS132 BL135:BS141 BL10:BL11 BN10:BN11 BP10:BP11 BR10:BR11 BL12:BS67 BL143:BS146 BL148:BS148 BL147 BN147 BL133:BL134 BN133:BN134 BP133:BP134 BR133:BR134 BL127:BL131 BN127:BN131 BP127:BP131 BR127:BR131 BL150:BS154 BL70:BS79 BL89:BS110 BR147 BP147</xm:sqref>
        </x14:conditionalFormatting>
        <x14:conditionalFormatting xmlns:xm="http://schemas.microsoft.com/office/excel/2006/main">
          <x14:cfRule type="containsText" priority="139" operator="containsText" id="{CD4FB10C-CE87-42B3-9951-DEAE15BA8A60}">
            <xm:f>NOT(ISERROR(SEARCH(#REF!,BL142)))</xm:f>
            <xm:f>#REF!</xm:f>
            <x14:dxf>
              <font>
                <color theme="4"/>
              </font>
              <fill>
                <patternFill>
                  <bgColor theme="5" tint="0.59996337778862885"/>
                </patternFill>
              </fill>
            </x14:dxf>
          </x14:cfRule>
          <xm:sqref>BL142:BS142</xm:sqref>
        </x14:conditionalFormatting>
        <x14:conditionalFormatting xmlns:xm="http://schemas.microsoft.com/office/excel/2006/main">
          <x14:cfRule type="containsText" priority="133" operator="containsText" id="{17ABA43D-1DA4-4C4E-B6C5-08C09C9D5406}">
            <xm:f>NOT(ISERROR(SEARCH(#REF!,BL111)))</xm:f>
            <xm:f>#REF!</xm:f>
            <x14:dxf>
              <font>
                <color theme="4"/>
              </font>
              <fill>
                <patternFill>
                  <bgColor theme="5" tint="0.59996337778862885"/>
                </patternFill>
              </fill>
            </x14:dxf>
          </x14:cfRule>
          <xm:sqref>BL111:BS112</xm:sqref>
        </x14:conditionalFormatting>
        <x14:conditionalFormatting xmlns:xm="http://schemas.microsoft.com/office/excel/2006/main">
          <x14:cfRule type="containsText" priority="127" operator="containsText" id="{C6C5884D-B5C3-41BB-9A23-396050C2EDB7}">
            <xm:f>NOT(ISERROR(SEARCH(#REF!,BL149)))</xm:f>
            <xm:f>#REF!</xm:f>
            <x14:dxf>
              <font>
                <color theme="4"/>
              </font>
              <fill>
                <patternFill>
                  <bgColor theme="5" tint="0.59996337778862885"/>
                </patternFill>
              </fill>
            </x14:dxf>
          </x14:cfRule>
          <xm:sqref>BL149 BN149 BP149 BR149</xm:sqref>
        </x14:conditionalFormatting>
        <x14:conditionalFormatting xmlns:xm="http://schemas.microsoft.com/office/excel/2006/main">
          <x14:cfRule type="containsText" priority="121" operator="containsText" id="{3014E89B-EF36-4487-B5A3-B6D115708EE8}">
            <xm:f>NOT(ISERROR(SEARCH(#REF!,BL155)))</xm:f>
            <xm:f>#REF!</xm:f>
            <x14:dxf>
              <font>
                <color theme="4"/>
              </font>
              <fill>
                <patternFill>
                  <bgColor theme="5" tint="0.59996337778862885"/>
                </patternFill>
              </fill>
            </x14:dxf>
          </x14:cfRule>
          <xm:sqref>BL155:BS155</xm:sqref>
        </x14:conditionalFormatting>
        <x14:conditionalFormatting xmlns:xm="http://schemas.microsoft.com/office/excel/2006/main">
          <x14:cfRule type="containsText" priority="115" operator="containsText" id="{FD5AD8FC-6C72-4C7C-A6D2-DA2F683172C2}">
            <xm:f>NOT(ISERROR(SEARCH(#REF!,BL68)))</xm:f>
            <xm:f>#REF!</xm:f>
            <x14:dxf>
              <font>
                <color theme="4"/>
              </font>
              <fill>
                <patternFill>
                  <bgColor theme="5" tint="0.59996337778862885"/>
                </patternFill>
              </fill>
            </x14:dxf>
          </x14:cfRule>
          <xm:sqref>BL68:BS69</xm:sqref>
        </x14:conditionalFormatting>
        <x14:conditionalFormatting xmlns:xm="http://schemas.microsoft.com/office/excel/2006/main">
          <x14:cfRule type="containsText" priority="109" operator="containsText" id="{5C2DEDBF-12A1-4312-AB07-198194F3DA88}">
            <xm:f>NOT(ISERROR(SEARCH(#REF!,BM131)))</xm:f>
            <xm:f>#REF!</xm:f>
            <x14:dxf>
              <font>
                <color theme="4"/>
              </font>
              <fill>
                <patternFill>
                  <bgColor theme="5" tint="0.59996337778862885"/>
                </patternFill>
              </fill>
            </x14:dxf>
          </x14:cfRule>
          <xm:sqref>BM131</xm:sqref>
        </x14:conditionalFormatting>
        <x14:conditionalFormatting xmlns:xm="http://schemas.microsoft.com/office/excel/2006/main">
          <x14:cfRule type="containsText" priority="103" operator="containsText" id="{C81361F6-FF53-44A0-87E0-59CF66A2101F}">
            <xm:f>NOT(ISERROR(SEARCH(#REF!,BO131)))</xm:f>
            <xm:f>#REF!</xm:f>
            <x14:dxf>
              <font>
                <color theme="4"/>
              </font>
              <fill>
                <patternFill>
                  <bgColor theme="5" tint="0.59996337778862885"/>
                </patternFill>
              </fill>
            </x14:dxf>
          </x14:cfRule>
          <xm:sqref>BO131</xm:sqref>
        </x14:conditionalFormatting>
        <x14:conditionalFormatting xmlns:xm="http://schemas.microsoft.com/office/excel/2006/main">
          <x14:cfRule type="containsText" priority="97" operator="containsText" id="{DF64B949-B601-4CED-B0EC-9C8259CFE251}">
            <xm:f>NOT(ISERROR(SEARCH(#REF!,BQ131)))</xm:f>
            <xm:f>#REF!</xm:f>
            <x14:dxf>
              <font>
                <color theme="4"/>
              </font>
              <fill>
                <patternFill>
                  <bgColor theme="5" tint="0.59996337778862885"/>
                </patternFill>
              </fill>
            </x14:dxf>
          </x14:cfRule>
          <xm:sqref>BQ131</xm:sqref>
        </x14:conditionalFormatting>
        <x14:conditionalFormatting xmlns:xm="http://schemas.microsoft.com/office/excel/2006/main">
          <x14:cfRule type="containsText" priority="91" operator="containsText" id="{89770DD1-615B-4421-8802-2D04C1A04303}">
            <xm:f>NOT(ISERROR(SEARCH(#REF!,BS131)))</xm:f>
            <xm:f>#REF!</xm:f>
            <x14:dxf>
              <font>
                <color theme="4"/>
              </font>
              <fill>
                <patternFill>
                  <bgColor theme="5" tint="0.59996337778862885"/>
                </patternFill>
              </fill>
            </x14:dxf>
          </x14:cfRule>
          <xm:sqref>BS131</xm:sqref>
        </x14:conditionalFormatting>
        <x14:conditionalFormatting xmlns:xm="http://schemas.microsoft.com/office/excel/2006/main">
          <x14:cfRule type="containsText" priority="73" operator="containsText" id="{798D96D4-0D4D-4186-9B1D-46A0D56972FA}">
            <xm:f>NOT(ISERROR(SEARCH(#REF!,BL156)))</xm:f>
            <xm:f>#REF!</xm:f>
            <x14:dxf>
              <font>
                <color theme="4"/>
              </font>
              <fill>
                <patternFill>
                  <bgColor theme="5" tint="0.59996337778862885"/>
                </patternFill>
              </fill>
            </x14:dxf>
          </x14:cfRule>
          <xm:sqref>BL156:BS156</xm:sqref>
        </x14:conditionalFormatting>
        <x14:conditionalFormatting xmlns:xm="http://schemas.microsoft.com/office/excel/2006/main">
          <x14:cfRule type="containsText" priority="67" operator="containsText" id="{F69E5CB5-28BD-4DBE-907B-00F84E947BD5}">
            <xm:f>NOT(ISERROR(SEARCH(#REF!,BL80)))</xm:f>
            <xm:f>#REF!</xm:f>
            <x14:dxf>
              <font>
                <color theme="4"/>
              </font>
              <fill>
                <patternFill>
                  <bgColor theme="5" tint="0.59996337778862885"/>
                </patternFill>
              </fill>
            </x14:dxf>
          </x14:cfRule>
          <xm:sqref>BL80:BS80</xm:sqref>
        </x14:conditionalFormatting>
        <x14:conditionalFormatting xmlns:xm="http://schemas.microsoft.com/office/excel/2006/main">
          <x14:cfRule type="containsText" priority="61" operator="containsText" id="{E658E864-2328-425C-AAC6-A31C2EAD4F6E}">
            <xm:f>NOT(ISERROR(SEARCH(#REF!,BL81)))</xm:f>
            <xm:f>#REF!</xm:f>
            <x14:dxf>
              <font>
                <color theme="4"/>
              </font>
              <fill>
                <patternFill>
                  <bgColor theme="5" tint="0.59996337778862885"/>
                </patternFill>
              </fill>
            </x14:dxf>
          </x14:cfRule>
          <xm:sqref>BL81:BS82</xm:sqref>
        </x14:conditionalFormatting>
        <x14:conditionalFormatting xmlns:xm="http://schemas.microsoft.com/office/excel/2006/main">
          <x14:cfRule type="containsText" priority="55" operator="containsText" id="{62F543E3-7140-472C-B6EB-D99D698906A3}">
            <xm:f>NOT(ISERROR(SEARCH(#REF!,BL83)))</xm:f>
            <xm:f>#REF!</xm:f>
            <x14:dxf>
              <font>
                <color theme="4"/>
              </font>
              <fill>
                <patternFill>
                  <bgColor theme="5" tint="0.59996337778862885"/>
                </patternFill>
              </fill>
            </x14:dxf>
          </x14:cfRule>
          <xm:sqref>BL83:BS83</xm:sqref>
        </x14:conditionalFormatting>
        <x14:conditionalFormatting xmlns:xm="http://schemas.microsoft.com/office/excel/2006/main">
          <x14:cfRule type="containsText" priority="49" operator="containsText" id="{79D115D7-FE3B-46E6-BEEA-6BB5308D7AA5}">
            <xm:f>NOT(ISERROR(SEARCH(#REF!,BL84)))</xm:f>
            <xm:f>#REF!</xm:f>
            <x14:dxf>
              <font>
                <color theme="4"/>
              </font>
              <fill>
                <patternFill>
                  <bgColor theme="5" tint="0.59996337778862885"/>
                </patternFill>
              </fill>
            </x14:dxf>
          </x14:cfRule>
          <xm:sqref>BL84:BS84</xm:sqref>
        </x14:conditionalFormatting>
        <x14:conditionalFormatting xmlns:xm="http://schemas.microsoft.com/office/excel/2006/main">
          <x14:cfRule type="containsText" priority="43" operator="containsText" id="{ACFB9E01-FE3B-4469-96ED-1FCD796F6728}">
            <xm:f>NOT(ISERROR(SEARCH(#REF!,BL85)))</xm:f>
            <xm:f>#REF!</xm:f>
            <x14:dxf>
              <font>
                <color theme="4"/>
              </font>
              <fill>
                <patternFill>
                  <bgColor theme="5" tint="0.59996337778862885"/>
                </patternFill>
              </fill>
            </x14:dxf>
          </x14:cfRule>
          <xm:sqref>BL85:BS85</xm:sqref>
        </x14:conditionalFormatting>
        <x14:conditionalFormatting xmlns:xm="http://schemas.microsoft.com/office/excel/2006/main">
          <x14:cfRule type="containsText" priority="37" operator="containsText" id="{948CD9FA-E910-4FDA-9382-969FF379A4DF}">
            <xm:f>NOT(ISERROR(SEARCH(#REF!,BL86)))</xm:f>
            <xm:f>#REF!</xm:f>
            <x14:dxf>
              <font>
                <color theme="4"/>
              </font>
              <fill>
                <patternFill>
                  <bgColor theme="5" tint="0.59996337778862885"/>
                </patternFill>
              </fill>
            </x14:dxf>
          </x14:cfRule>
          <xm:sqref>BL86:BS88</xm:sqref>
        </x14:conditionalFormatting>
        <x14:conditionalFormatting xmlns:xm="http://schemas.microsoft.com/office/excel/2006/main">
          <x14:cfRule type="containsText" priority="31" operator="containsText" id="{A2332F9B-1A5B-400D-B465-2B58E681C978}">
            <xm:f>NOT(ISERROR(SEARCH(#REF!,BL157)))</xm:f>
            <xm:f>#REF!</xm:f>
            <x14:dxf>
              <font>
                <color theme="4"/>
              </font>
              <fill>
                <patternFill>
                  <bgColor theme="5" tint="0.59996337778862885"/>
                </patternFill>
              </fill>
            </x14:dxf>
          </x14:cfRule>
          <xm:sqref>BL157:BS157</xm:sqref>
        </x14:conditionalFormatting>
        <x14:conditionalFormatting xmlns:xm="http://schemas.microsoft.com/office/excel/2006/main">
          <x14:cfRule type="containsText" priority="25" operator="containsText" id="{500CB119-87E0-42A0-89C1-E4B0164FFC4F}">
            <xm:f>NOT(ISERROR(SEARCH(#REF!,BL158)))</xm:f>
            <xm:f>#REF!</xm:f>
            <x14:dxf>
              <font>
                <color theme="4"/>
              </font>
              <fill>
                <patternFill>
                  <bgColor theme="5" tint="0.59996337778862885"/>
                </patternFill>
              </fill>
            </x14:dxf>
          </x14:cfRule>
          <xm:sqref>BL158:BS158</xm:sqref>
        </x14:conditionalFormatting>
        <x14:conditionalFormatting xmlns:xm="http://schemas.microsoft.com/office/excel/2006/main">
          <x14:cfRule type="containsText" priority="18" operator="containsText" id="{9C6ADB5A-FDE3-46F1-96D1-9B1B0C0EFFAD}">
            <xm:f>NOT(ISERROR(SEARCH(#REF!,BL159)))</xm:f>
            <xm:f>#REF!</xm:f>
            <x14:dxf>
              <font>
                <color theme="4"/>
              </font>
              <fill>
                <patternFill>
                  <bgColor theme="5" tint="0.59996337778862885"/>
                </patternFill>
              </fill>
            </x14:dxf>
          </x14:cfRule>
          <xm:sqref>BL159:BS159</xm:sqref>
        </x14:conditionalFormatting>
        <x14:conditionalFormatting xmlns:xm="http://schemas.microsoft.com/office/excel/2006/main">
          <x14:cfRule type="containsText" priority="12" operator="containsText" id="{58CD2D10-0D14-4B5E-8EEF-0D674FC4ECC1}">
            <xm:f>NOT(ISERROR(SEARCH(#REF!,BL160)))</xm:f>
            <xm:f>#REF!</xm:f>
            <x14:dxf>
              <font>
                <color theme="4"/>
              </font>
              <fill>
                <patternFill>
                  <bgColor theme="5" tint="0.59996337778862885"/>
                </patternFill>
              </fill>
            </x14:dxf>
          </x14:cfRule>
          <xm:sqref>BL160:BS160</xm:sqref>
        </x14:conditionalFormatting>
        <x14:conditionalFormatting xmlns:xm="http://schemas.microsoft.com/office/excel/2006/main">
          <x14:cfRule type="containsText" priority="6" operator="containsText" id="{55AB5761-772A-4630-90A5-29105A112DFE}">
            <xm:f>NOT(ISERROR(SEARCH(#REF!,BL161)))</xm:f>
            <xm:f>#REF!</xm:f>
            <x14:dxf>
              <font>
                <color theme="4"/>
              </font>
              <fill>
                <patternFill>
                  <bgColor theme="5" tint="0.59996337778862885"/>
                </patternFill>
              </fill>
            </x14:dxf>
          </x14:cfRule>
          <xm:sqref>BL161:BS161</xm:sqref>
        </x14:conditionalFormatting>
      </x14:conditionalFormattings>
    </ext>
    <ext xmlns:x14="http://schemas.microsoft.com/office/spreadsheetml/2009/9/main" uri="{CCE6A557-97BC-4b89-ADB6-D9C93CAAB3DF}">
      <x14:dataValidations xmlns:xm="http://schemas.microsoft.com/office/excel/2006/main" count="30">
        <x14:dataValidation type="list" allowBlank="1" showInputMessage="1" showErrorMessage="1" xr:uid="{00000000-0002-0000-0200-000005000000}">
          <x14:formula1>
            <xm:f>'TAB. REF. PA'!$D$3:$D$9</xm:f>
          </x14:formula1>
          <xm:sqref>D95:D109 D114:D121 D140:D143 D89:D92 D8:D11</xm:sqref>
        </x14:dataValidation>
        <x14:dataValidation type="list" allowBlank="1" showInputMessage="1" showErrorMessage="1" xr:uid="{00000000-0002-0000-0200-000006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200-000007000000}">
          <x14:formula1>
            <xm:f>'D:\Users\ricardo.triana\Documents\ADRES\Plan de Accion\Plan Accion 2018\[Plan Accion ADRES Vigencia 2018 DLG 17-01-18.xlsx]TAB. REF. PA'!#REF!</xm:f>
          </x14:formula1>
          <xm:sqref>D45:D63 D156</xm:sqref>
        </x14:dataValidation>
        <x14:dataValidation type="list" allowBlank="1" showInputMessage="1" showErrorMessage="1" xr:uid="{00000000-0002-0000-0200-000008000000}">
          <x14:formula1>
            <xm:f>'C:\Users\Ricardo.triana\AppData\Local\Microsoft\Windows\INetCache\Content.Outlook\NSJG1V0A\[Plan Accion ADRES DOP 24-01-2018.xlsx]TAB. REF. PA'!#REF!</xm:f>
          </x14:formula1>
          <xm:sqref>D70:D75 D64:D68 M80:S88 A157:A158 M157:S158 D157:D158</xm:sqref>
        </x14:dataValidation>
        <x14:dataValidation type="list" allowBlank="1" showInputMessage="1" showErrorMessage="1" xr:uid="{00000000-0002-0000-0200-000009000000}">
          <x14:formula1>
            <xm:f>'TAB. REF. PA'!$W$3:$W$7</xm:f>
          </x14:formula1>
          <xm:sqref>W150:W156 W78 W139:W145 W70:W75 W8:W9 W12:W67 W125:W135 W89:W121</xm:sqref>
        </x14:dataValidation>
        <x14:dataValidation type="list" allowBlank="1" showInputMessage="1" showErrorMessage="1" xr:uid="{00000000-0002-0000-0200-00000A000000}">
          <x14:formula1>
            <xm:f>'TAB. REF. PA'!$F$3:$F$10</xm:f>
          </x14:formula1>
          <xm:sqref>M95:M109 M111:M112 M114:M121 M140:M145 M89:M92 M8:M9 M12:M67 M70:M75 M155:M156</xm:sqref>
        </x14:dataValidation>
        <x14:dataValidation type="list" allowBlank="1" showInputMessage="1" showErrorMessage="1" xr:uid="{00000000-0002-0000-0200-00000B000000}">
          <x14:formula1>
            <xm:f>'TAB. REF. PA'!$H$3:$H$21</xm:f>
          </x14:formula1>
          <xm:sqref>N95:N109 N111:N112 N114:N121 N140:N145 N89:N92 N8:N9 N12:N67 N70:N75 N155:N156</xm:sqref>
        </x14:dataValidation>
        <x14:dataValidation type="list" allowBlank="1" showInputMessage="1" showErrorMessage="1" xr:uid="{00000000-0002-0000-0200-00000C000000}">
          <x14:formula1>
            <xm:f>'TAB. REF. PA'!$J$3:$J$6</xm:f>
          </x14:formula1>
          <xm:sqref>O95:O109 O111:O112 O114:O121 O140:O145 O89:O92 O8:O9 O12:O67 O70:O75 O155:O156</xm:sqref>
        </x14:dataValidation>
        <x14:dataValidation type="list" allowBlank="1" showInputMessage="1" showErrorMessage="1" xr:uid="{00000000-0002-0000-0200-00000D000000}">
          <x14:formula1>
            <xm:f>'TAB. REF. PA'!$L$3:$L$11</xm:f>
          </x14:formula1>
          <xm:sqref>P95:P109 P111:P112 P114:P121 P140:P145 P89:P92 P8:P9 P12:P67 P70:P75 P155:P156</xm:sqref>
        </x14:dataValidation>
        <x14:dataValidation type="list" allowBlank="1" showInputMessage="1" showErrorMessage="1" xr:uid="{00000000-0002-0000-0200-00000E000000}">
          <x14:formula1>
            <xm:f>'TAB. REF. PA'!$N$3:$N$25</xm:f>
          </x14:formula1>
          <xm:sqref>Q95:Q109 Q111:Q112 Q114:Q121 Q140:Q145 Q89:Q92 Q8:Q9 Q70:Q75 Q155:Q156 Q12:Q67</xm:sqref>
        </x14:dataValidation>
        <x14:dataValidation type="list" allowBlank="1" showInputMessage="1" showErrorMessage="1" xr:uid="{00000000-0002-0000-0200-00000F000000}">
          <x14:formula1>
            <xm:f>'TAB. REF. PA'!$U$3:$U$24</xm:f>
          </x14:formula1>
          <xm:sqref>S95:S104 S109 S106:S107 S114:S121 S140:S143 S89:S92 S8:S67 S70:S75 S156</xm:sqref>
        </x14:dataValidation>
        <x14:dataValidation type="list" allowBlank="1" showInputMessage="1" showErrorMessage="1" xr:uid="{00000000-0002-0000-0200-000010000000}">
          <x14:formula1>
            <xm:f>'TAB. REF. PA'!$A$3:$A$14</xm:f>
          </x14:formula1>
          <xm:sqref>A95:A109 A114:A121 A140:A143 A89:A92 A8:A67 A70:A75 A156</xm:sqref>
        </x14:dataValidation>
        <x14:dataValidation type="list" allowBlank="1" showInputMessage="1" showErrorMessage="1" xr:uid="{00000000-0002-0000-0200-000011000000}">
          <x14:formula1>
            <xm:f>'C:\Users\norela.briceno\Documents\Plan de acción\[Plan Accion ADRES Vigencia 2018 Preliminar DTIC ADRES 25-01-18.xlsx]TAB. REF. PA'!#REF!</xm:f>
          </x14:formula1>
          <xm:sqref>D76:D88 A76:A88 W79 W76:W77 S161 M76:Q79 S76:S79 R76:R78</xm:sqref>
        </x14:dataValidation>
        <x14:dataValidation type="list" allowBlank="1" showInputMessage="1" showErrorMessage="1" xr:uid="{00000000-0002-0000-0200-000012000000}">
          <x14:formula1>
            <xm:f>'C:\Users\norela.briceno\Documents\Plan de acción\Plan Accion 2018\[Plan Accion ADRES - DAF Gestión Documental.xlsx]TAB. REF. PA'!#REF!</xm:f>
          </x14:formula1>
          <xm:sqref>M110:S110 M113:S113 A110 A113 A144:A145 D110 D113 D144:D145 D155 D161</xm:sqref>
        </x14:dataValidation>
        <x14:dataValidation type="list" allowBlank="1" showInputMessage="1" showErrorMessage="1" xr:uid="{00000000-0002-0000-0200-000013000000}">
          <x14:formula1>
            <xm:f>'C:\Users\norela.briceno\Documents\Plan de acción\Plan Accion 2018\[Plan Accion ADRES Vigencia 2018 26-01-18 Atención al Ciudadano.xlsx]TAB. REF. PA'!#REF!</xm:f>
          </x14:formula1>
          <xm:sqref>D111:D112 S112 A111:A112</xm:sqref>
        </x14:dataValidation>
        <x14:dataValidation type="list" allowBlank="1" showInputMessage="1" showErrorMessage="1" xr:uid="{00000000-0002-0000-0200-000014000000}">
          <x14:formula1>
            <xm:f>'D:\Users\Alicia.benitez\Documents\PLAN DE ACCION\[Atencion al Ciudadano.XLSX]TAB. REF. PA'!#REF!</xm:f>
          </x14:formula1>
          <xm:sqref>S111</xm:sqref>
        </x14:dataValidation>
        <x14:dataValidation type="list" allowBlank="1" showInputMessage="1" showErrorMessage="1" xr:uid="{00000000-0002-0000-0200-000015000000}">
          <x14:formula1>
            <xm:f>'D:\Users\Alicia.benitez\Documents\PLAN DE ACCION\[Apoyo Logistico.xlsx]TAB. REF. PA'!#REF!</xm:f>
          </x14:formula1>
          <xm:sqref>R144:R145 R155</xm:sqref>
        </x14:dataValidation>
        <x14:dataValidation type="list" allowBlank="1" showInputMessage="1" showErrorMessage="1" xr:uid="{00000000-0002-0000-0200-000016000000}">
          <x14:formula1>
            <xm:f>'C:\Users\norela.briceno\AppData\Local\Microsoft\Windows\INetCache\Content.Outlook\FBI6K8AZ\[PLAN DE ACCION TALENTO HUMANO OK.xlsx]TAB. REF. PA'!#REF!</xm:f>
          </x14:formula1>
          <xm:sqref>S105 S144:S145 S155</xm:sqref>
        </x14:dataValidation>
        <x14:dataValidation type="list" allowBlank="1" showInputMessage="1" showErrorMessage="1" xr:uid="{00000000-0002-0000-0200-000017000000}">
          <x14:formula1>
            <xm:f>'C:\Users\norela.briceno\Documents\Plan de acción\[Plan Accion ADRES - DAF y OAJ.xlsx]TAB. REF. PA'!#REF!</xm:f>
          </x14:formula1>
          <xm:sqref>R107 D93:D94 S122:S139 W136:W138 M93:S94 A93:A94 W122:W124 M139:Q139 A122:A139 D122:D139 M122:Q137 R125:R130 R132:R134</xm:sqref>
        </x14:dataValidation>
        <x14:dataValidation type="list" allowBlank="1" showInputMessage="1" showErrorMessage="1" xr:uid="{00000000-0002-0000-0200-000018000000}">
          <x14:formula1>
            <xm:f>'C:\Users\norela.briceno\AppData\Local\Microsoft\Windows\INetCache\Content.Outlook\FBI6K8AZ\[Plan Accion ADRES Vigencia 2018 ADRES 26-01-18 JCB.xlsx]TAB. REF. PA'!#REF!</xm:f>
          </x14:formula1>
          <xm:sqref>R108:S108 R109</xm:sqref>
        </x14:dataValidation>
        <x14:dataValidation type="list" allowBlank="1" showInputMessage="1" showErrorMessage="1" xr:uid="{00000000-0002-0000-0200-000019000000}">
          <x14:formula1>
            <xm:f>'D:\Users\magdiela.delacarrera\Documents\PLAN DE ACCIÓN GRUPO COBRO COACTIVO\[Copia de Plan Accion ADRES Vigencia 2018 Cobro Coactivo 15-01-18 remitido x Ricardo.xlsx]TAB. REF. PA'!#REF!</xm:f>
          </x14:formula1>
          <xm:sqref>R137:R139 D139 A139 S138:S139 M139:Q139 M146:R146 W146 W148 M148:R148 D146:D154 A146:A154 S146:S154 M150:Q154</xm:sqref>
        </x14:dataValidation>
        <x14:dataValidation type="list" allowBlank="1" showInputMessage="1" showErrorMessage="1" xr:uid="{00000000-0002-0000-0200-00001A000000}">
          <x14:formula1>
            <xm:f>'TAB. REF. PA'!$S$40</xm:f>
          </x14:formula1>
          <xm:sqref>R111</xm:sqref>
        </x14:dataValidation>
        <x14:dataValidation type="list" allowBlank="1" showInputMessage="1" showErrorMessage="1" xr:uid="{00000000-0002-0000-0200-00001B000000}">
          <x14:formula1>
            <xm:f>'TAB. REF. PA'!$S$6:$S$18</xm:f>
          </x14:formula1>
          <xm:sqref>R48:R51</xm:sqref>
        </x14:dataValidation>
        <x14:dataValidation type="list" allowBlank="1" showInputMessage="1" showErrorMessage="1" xr:uid="{00000000-0002-0000-0200-00001C000000}">
          <x14:formula1>
            <xm:f>'C:\Users\norela.briceno\AppData\Local\Microsoft\Windows\INetCache\Content.Outlook\FBI6K8AZ\[Copia de Plan Accion ADRES Vigencia 2018 con Cuadro de Mando.xlsx]TAB. REF. PA'!#REF!</xm:f>
          </x14:formula1>
          <xm:sqref>A68 W68 M68:S68</xm:sqref>
        </x14:dataValidation>
        <x14:dataValidation type="list" allowBlank="1" showInputMessage="1" showErrorMessage="1" xr:uid="{00000000-0002-0000-0200-00001D000000}">
          <x14:formula1>
            <xm:f>'TAB. REF. PA'!$S$3:$S$80</xm:f>
          </x14:formula1>
          <xm:sqref>R99:R100 R151 R131</xm:sqref>
        </x14:dataValidation>
        <x14:dataValidation type="list" allowBlank="1" showInputMessage="1" showErrorMessage="1" xr:uid="{00000000-0002-0000-0200-00001E000000}">
          <x14:formula1>
            <xm:f>'TAB. REF. PA'!$S$3:$S$78</xm:f>
          </x14:formula1>
          <xm:sqref>R64:R67</xm:sqref>
        </x14:dataValidation>
        <x14:dataValidation type="list" allowBlank="1" showInputMessage="1" showErrorMessage="1" xr:uid="{00000000-0002-0000-0200-00001F000000}">
          <x14:formula1>
            <xm:f>'TAB. REF. PA'!$S$3:$S$77</xm:f>
          </x14:formula1>
          <xm:sqref>R45</xm:sqref>
        </x14:dataValidation>
        <x14:dataValidation type="list" allowBlank="1" showInputMessage="1" showErrorMessage="1" xr:uid="{00000000-0002-0000-0200-000020000000}">
          <x14:formula1>
            <xm:f>'TAB. REF. PA'!$S$3:$S$76</xm:f>
          </x14:formula1>
          <xm:sqref>R147</xm:sqref>
        </x14:dataValidation>
        <x14:dataValidation type="list" allowBlank="1" showInputMessage="1" showErrorMessage="1" xr:uid="{76CDDC2A-ED10-463F-99DF-4691779FE818}">
          <x14:formula1>
            <xm:f>'C:\Users\norela.briceno\Documents\Otros\[Plan Accion ADRES Vigencia 2018 V3 One Drive DGTIC.xlsx]TAB. REF. PA'!#REF!</xm:f>
          </x14:formula1>
          <xm:sqref>W80:W88 W157:W158</xm:sqref>
        </x14:dataValidation>
        <x14:dataValidation type="list" allowBlank="1" showInputMessage="1" showErrorMessage="1" xr:uid="{030DD50A-2EE2-4E3B-8001-77F78A5E0744}">
          <x14:formula1>
            <xm:f>'C:\Users\norela.briceno\Documents\Plan de acción\Plan Accion 2018\[Plan Accion ADRES Vigencia 2018 con Cuadro de Mando V3 Integrado.xlsx]TAB. REF. PA'!#REF!</xm:f>
          </x14:formula1>
          <xm:sqref>D159:D160 A159:A160 S159:S160 M159:P161 W159:W161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
  <sheetViews>
    <sheetView showGridLines="0" topLeftCell="A2" workbookViewId="0">
      <selection activeCell="B23" sqref="B23"/>
    </sheetView>
  </sheetViews>
  <sheetFormatPr baseColWidth="10" defaultRowHeight="15" x14ac:dyDescent="0.25"/>
  <sheetData>
    <row r="1" spans="1:12" ht="15.75" thickBot="1" x14ac:dyDescent="0.3">
      <c r="A1" s="161"/>
      <c r="B1" s="161"/>
      <c r="C1" s="161"/>
      <c r="D1" s="161"/>
      <c r="E1" s="161"/>
      <c r="F1" s="161"/>
      <c r="G1" s="161"/>
      <c r="H1" s="161"/>
      <c r="I1" s="161"/>
    </row>
    <row r="2" spans="1:12" x14ac:dyDescent="0.25">
      <c r="A2" s="1051"/>
      <c r="B2" s="1052"/>
      <c r="C2" s="1057" t="s">
        <v>954</v>
      </c>
      <c r="D2" s="1058"/>
      <c r="E2" s="1059" t="s">
        <v>955</v>
      </c>
      <c r="F2" s="1060"/>
      <c r="G2" s="1060"/>
      <c r="H2" s="1061"/>
      <c r="I2" s="1062"/>
      <c r="J2" s="1063"/>
      <c r="K2" s="1063"/>
      <c r="L2" s="1064"/>
    </row>
    <row r="3" spans="1:12" x14ac:dyDescent="0.25">
      <c r="A3" s="1053"/>
      <c r="B3" s="1054"/>
      <c r="C3" s="1071" t="s">
        <v>956</v>
      </c>
      <c r="D3" s="1072"/>
      <c r="E3" s="1073" t="s">
        <v>800</v>
      </c>
      <c r="F3" s="1074"/>
      <c r="G3" s="1074"/>
      <c r="H3" s="1075"/>
      <c r="I3" s="1065"/>
      <c r="J3" s="1066"/>
      <c r="K3" s="1066"/>
      <c r="L3" s="1067"/>
    </row>
    <row r="4" spans="1:12" ht="15.75" thickBot="1" x14ac:dyDescent="0.3">
      <c r="A4" s="1055"/>
      <c r="B4" s="1056"/>
      <c r="C4" s="1076" t="s">
        <v>852</v>
      </c>
      <c r="D4" s="1077"/>
      <c r="E4" s="1078" t="s">
        <v>960</v>
      </c>
      <c r="F4" s="1079"/>
      <c r="G4" s="441" t="s">
        <v>959</v>
      </c>
      <c r="H4" s="442">
        <v>1</v>
      </c>
      <c r="I4" s="1068"/>
      <c r="J4" s="1069"/>
      <c r="K4" s="1069"/>
      <c r="L4" s="1070"/>
    </row>
    <row r="8" spans="1:12" x14ac:dyDescent="0.25">
      <c r="C8" s="171" t="s">
        <v>867</v>
      </c>
      <c r="I8" s="172" t="s">
        <v>870</v>
      </c>
    </row>
    <row r="9" spans="1:12" x14ac:dyDescent="0.25">
      <c r="C9" s="165"/>
    </row>
    <row r="10" spans="1:12" x14ac:dyDescent="0.25">
      <c r="C10" s="165"/>
    </row>
    <row r="11" spans="1:12" x14ac:dyDescent="0.25">
      <c r="C11" s="165"/>
    </row>
    <row r="12" spans="1:12" x14ac:dyDescent="0.25">
      <c r="C12" s="165"/>
    </row>
    <row r="13" spans="1:12" x14ac:dyDescent="0.25">
      <c r="C13" s="171" t="s">
        <v>868</v>
      </c>
    </row>
    <row r="14" spans="1:12" x14ac:dyDescent="0.25">
      <c r="C14" s="165"/>
    </row>
    <row r="15" spans="1:12" x14ac:dyDescent="0.25">
      <c r="C15" s="165"/>
    </row>
    <row r="16" spans="1:12" x14ac:dyDescent="0.25">
      <c r="C16" s="165"/>
    </row>
    <row r="17" spans="3:3" x14ac:dyDescent="0.25">
      <c r="C17" s="165"/>
    </row>
    <row r="18" spans="3:3" x14ac:dyDescent="0.25">
      <c r="C18" s="165"/>
    </row>
    <row r="19" spans="3:3" x14ac:dyDescent="0.25">
      <c r="C19" s="171" t="s">
        <v>869</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xr:uid="{00000000-0004-0000-0300-000000000000}"/>
    <hyperlink ref="C13" location="'Cumplimiento de objetivos'!A1" display="SEGUIMIENTO AL CUMPLIMIENTO POR OBJETIVOS/LINEAMIENTOS ESTRATÉGICOS" xr:uid="{00000000-0004-0000-0300-000001000000}"/>
    <hyperlink ref="C19" location="'Cumplimiento Dependencias'!A1" display="SEGUIMIENTO AL CUMPLIMIENTO POR DEPENDENCIAS" xr:uid="{00000000-0004-0000-0300-000002000000}"/>
    <hyperlink ref="I8" location="'Cuadro Mando Integral Detallado'!A1" display="Detalles" xr:uid="{00000000-0004-0000-0300-000003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P235"/>
  <sheetViews>
    <sheetView showGridLines="0" topLeftCell="C27" zoomScale="55" zoomScaleNormal="55" workbookViewId="0">
      <selection activeCell="I35" sqref="I35"/>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15.85546875" style="298" customWidth="1"/>
    <col min="9" max="9" width="15.7109375" style="297" customWidth="1"/>
    <col min="10" max="10" width="15.7109375" style="775" customWidth="1"/>
    <col min="11" max="11" width="15.7109375" style="297" customWidth="1"/>
    <col min="12" max="13" width="15.7109375" style="775" customWidth="1"/>
    <col min="14" max="14" width="2.5703125" style="1402" customWidth="1"/>
    <col min="15" max="15" width="15.5703125" style="297" customWidth="1"/>
    <col min="16" max="16" width="17.140625" style="297" customWidth="1"/>
    <col min="17" max="17" width="17.140625" style="775" customWidth="1"/>
    <col min="18" max="18" width="21" style="297" customWidth="1"/>
    <col min="19" max="20" width="21" style="775" customWidth="1"/>
    <col min="21" max="21" width="2.5703125" style="299" customWidth="1"/>
    <col min="22" max="22" width="15.85546875" style="297" customWidth="1"/>
    <col min="23" max="23" width="15.5703125" style="297" customWidth="1"/>
    <col min="24" max="24" width="15.5703125" style="775" customWidth="1"/>
    <col min="25" max="25" width="15.85546875" style="297" customWidth="1"/>
    <col min="26" max="27" width="15.85546875" style="775" customWidth="1"/>
    <col min="28" max="28" width="2.5703125" style="299" customWidth="1"/>
    <col min="29" max="29" width="12.5703125" style="297" customWidth="1"/>
    <col min="30" max="30" width="16.28515625" style="297" customWidth="1"/>
    <col min="31" max="31" width="16.28515625" style="775" customWidth="1"/>
    <col min="32" max="32" width="18.140625" style="297" customWidth="1"/>
    <col min="33" max="33" width="18.140625" style="775" customWidth="1"/>
    <col min="34" max="34" width="19.85546875" style="297" hidden="1" customWidth="1"/>
    <col min="35" max="35" width="5.7109375" style="297" customWidth="1"/>
    <col min="36" max="37" width="0" style="297" hidden="1" customWidth="1"/>
    <col min="38" max="38" width="2.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8" width="0" style="297" hidden="1" customWidth="1"/>
    <col min="49" max="49" width="5.7109375" style="297" hidden="1" customWidth="1"/>
    <col min="50" max="51" width="0" style="297" hidden="1" customWidth="1"/>
    <col min="52" max="52" width="2.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2" width="0" style="297" hidden="1" customWidth="1"/>
    <col min="63" max="63" width="5.7109375" style="297" hidden="1" customWidth="1"/>
    <col min="64" max="65" width="0" style="297" hidden="1" customWidth="1"/>
    <col min="66" max="66" width="2.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6" width="0" style="297" hidden="1" customWidth="1"/>
    <col min="77" max="77" width="5.7109375" style="297" hidden="1" customWidth="1"/>
    <col min="78" max="79" width="0" style="297" hidden="1" customWidth="1"/>
    <col min="80" max="80" width="2.7109375" style="297" hidden="1" customWidth="1"/>
    <col min="81" max="82" width="0" style="297" hidden="1" customWidth="1"/>
    <col min="83" max="83" width="2.7109375" style="297" hidden="1" customWidth="1"/>
    <col min="84" max="85" width="0" style="297" hidden="1" customWidth="1"/>
    <col min="86" max="86" width="2.7109375" style="297" hidden="1" customWidth="1"/>
    <col min="87" max="88" width="0" style="297" hidden="1" customWidth="1"/>
    <col min="89" max="89" width="2.7109375" style="297" hidden="1" customWidth="1"/>
    <col min="90" max="90" width="0" style="297" hidden="1" customWidth="1"/>
    <col min="91" max="266" width="11" style="297"/>
    <col min="267" max="267" width="1.5703125" style="297" customWidth="1"/>
    <col min="268" max="268" width="8.5703125" style="297" customWidth="1"/>
    <col min="269" max="269" width="28.7109375" style="297" customWidth="1"/>
    <col min="270" max="270" width="26.5703125" style="297" customWidth="1"/>
    <col min="271" max="271" width="7.7109375" style="297" customWidth="1"/>
    <col min="272" max="272" width="19.42578125" style="297" customWidth="1"/>
    <col min="273" max="273" width="44.28515625" style="297" customWidth="1"/>
    <col min="274" max="274" width="17" style="297" customWidth="1"/>
    <col min="275" max="275" width="15.5703125" style="297" customWidth="1"/>
    <col min="276" max="276" width="14.140625" style="297" customWidth="1"/>
    <col min="277" max="277" width="1.7109375" style="297" customWidth="1"/>
    <col min="278" max="278" width="13.7109375" style="297" customWidth="1"/>
    <col min="279" max="279" width="13.85546875" style="297" bestFit="1" customWidth="1"/>
    <col min="280" max="280" width="2.5703125" style="297" customWidth="1"/>
    <col min="281" max="281" width="12.42578125" style="297" customWidth="1"/>
    <col min="282" max="282" width="13.5703125" style="297" customWidth="1"/>
    <col min="283" max="283" width="2.5703125" style="297" customWidth="1"/>
    <col min="284" max="284" width="12.42578125" style="297" customWidth="1"/>
    <col min="285" max="285" width="13.5703125" style="297" customWidth="1"/>
    <col min="286" max="286" width="2.5703125" style="297" customWidth="1"/>
    <col min="287" max="287" width="11.5703125" style="297" customWidth="1"/>
    <col min="288" max="288" width="13" style="297" customWidth="1"/>
    <col min="289" max="289" width="1.42578125" style="297" customWidth="1"/>
    <col min="290" max="290" width="10.5703125" style="297" customWidth="1"/>
    <col min="291" max="522" width="11" style="297"/>
    <col min="523" max="523" width="1.5703125" style="297" customWidth="1"/>
    <col min="524" max="524" width="8.5703125" style="297" customWidth="1"/>
    <col min="525" max="525" width="28.7109375" style="297" customWidth="1"/>
    <col min="526" max="526" width="26.5703125" style="297" customWidth="1"/>
    <col min="527" max="527" width="7.7109375" style="297" customWidth="1"/>
    <col min="528" max="528" width="19.42578125" style="297" customWidth="1"/>
    <col min="529" max="529" width="44.28515625" style="297" customWidth="1"/>
    <col min="530" max="530" width="17" style="297" customWidth="1"/>
    <col min="531" max="531" width="15.5703125" style="297" customWidth="1"/>
    <col min="532" max="532" width="14.140625" style="297" customWidth="1"/>
    <col min="533" max="533" width="1.7109375" style="297" customWidth="1"/>
    <col min="534" max="534" width="13.7109375" style="297" customWidth="1"/>
    <col min="535" max="535" width="13.85546875" style="297" bestFit="1" customWidth="1"/>
    <col min="536" max="536" width="2.5703125" style="297" customWidth="1"/>
    <col min="537" max="537" width="12.42578125" style="297" customWidth="1"/>
    <col min="538" max="538" width="13.5703125" style="297" customWidth="1"/>
    <col min="539" max="539" width="2.5703125" style="297" customWidth="1"/>
    <col min="540" max="540" width="12.42578125" style="297" customWidth="1"/>
    <col min="541" max="541" width="13.5703125" style="297" customWidth="1"/>
    <col min="542" max="542" width="2.5703125" style="297" customWidth="1"/>
    <col min="543" max="543" width="11.5703125" style="297" customWidth="1"/>
    <col min="544" max="544" width="13" style="297" customWidth="1"/>
    <col min="545" max="545" width="1.42578125" style="297" customWidth="1"/>
    <col min="546" max="546" width="10.5703125" style="297" customWidth="1"/>
    <col min="547" max="778" width="11" style="297"/>
    <col min="779" max="779" width="1.5703125" style="297" customWidth="1"/>
    <col min="780" max="780" width="8.5703125" style="297" customWidth="1"/>
    <col min="781" max="781" width="28.7109375" style="297" customWidth="1"/>
    <col min="782" max="782" width="26.5703125" style="297" customWidth="1"/>
    <col min="783" max="783" width="7.7109375" style="297" customWidth="1"/>
    <col min="784" max="784" width="19.42578125" style="297" customWidth="1"/>
    <col min="785" max="785" width="44.28515625" style="297" customWidth="1"/>
    <col min="786" max="786" width="17" style="297" customWidth="1"/>
    <col min="787" max="787" width="15.5703125" style="297" customWidth="1"/>
    <col min="788" max="788" width="14.140625" style="297" customWidth="1"/>
    <col min="789" max="789" width="1.7109375" style="297" customWidth="1"/>
    <col min="790" max="790" width="13.7109375" style="297" customWidth="1"/>
    <col min="791" max="791" width="13.85546875" style="297" bestFit="1" customWidth="1"/>
    <col min="792" max="792" width="2.5703125" style="297" customWidth="1"/>
    <col min="793" max="793" width="12.42578125" style="297" customWidth="1"/>
    <col min="794" max="794" width="13.5703125" style="297" customWidth="1"/>
    <col min="795" max="795" width="2.5703125" style="297" customWidth="1"/>
    <col min="796" max="796" width="12.42578125" style="297" customWidth="1"/>
    <col min="797" max="797" width="13.5703125" style="297" customWidth="1"/>
    <col min="798" max="798" width="2.5703125" style="297" customWidth="1"/>
    <col min="799" max="799" width="11.5703125" style="297" customWidth="1"/>
    <col min="800" max="800" width="13" style="297" customWidth="1"/>
    <col min="801" max="801" width="1.42578125" style="297" customWidth="1"/>
    <col min="802" max="802" width="10.5703125" style="297" customWidth="1"/>
    <col min="803" max="1034" width="11" style="297"/>
    <col min="1035" max="1035" width="1.5703125" style="297" customWidth="1"/>
    <col min="1036" max="1036" width="8.5703125" style="297" customWidth="1"/>
    <col min="1037" max="1037" width="28.7109375" style="297" customWidth="1"/>
    <col min="1038" max="1038" width="26.5703125" style="297" customWidth="1"/>
    <col min="1039" max="1039" width="7.7109375" style="297" customWidth="1"/>
    <col min="1040" max="1040" width="19.42578125" style="297" customWidth="1"/>
    <col min="1041" max="1041" width="44.28515625" style="297" customWidth="1"/>
    <col min="1042" max="1042" width="17" style="297" customWidth="1"/>
    <col min="1043" max="1043" width="15.5703125" style="297" customWidth="1"/>
    <col min="1044" max="1044" width="14.140625" style="297" customWidth="1"/>
    <col min="1045" max="1045" width="1.7109375" style="297" customWidth="1"/>
    <col min="1046" max="1046" width="13.7109375" style="297" customWidth="1"/>
    <col min="1047" max="1047" width="13.85546875" style="297" bestFit="1" customWidth="1"/>
    <col min="1048" max="1048" width="2.5703125" style="297" customWidth="1"/>
    <col min="1049" max="1049" width="12.42578125" style="297" customWidth="1"/>
    <col min="1050" max="1050" width="13.5703125" style="297" customWidth="1"/>
    <col min="1051" max="1051" width="2.5703125" style="297" customWidth="1"/>
    <col min="1052" max="1052" width="12.42578125" style="297" customWidth="1"/>
    <col min="1053" max="1053" width="13.5703125" style="297" customWidth="1"/>
    <col min="1054" max="1054" width="2.5703125" style="297" customWidth="1"/>
    <col min="1055" max="1055" width="11.5703125" style="297" customWidth="1"/>
    <col min="1056" max="1056" width="13" style="297" customWidth="1"/>
    <col min="1057" max="1057" width="1.42578125" style="297" customWidth="1"/>
    <col min="1058" max="1058" width="10.5703125" style="297" customWidth="1"/>
    <col min="1059" max="1290" width="11" style="297"/>
    <col min="1291" max="1291" width="1.5703125" style="297" customWidth="1"/>
    <col min="1292" max="1292" width="8.5703125" style="297" customWidth="1"/>
    <col min="1293" max="1293" width="28.7109375" style="297" customWidth="1"/>
    <col min="1294" max="1294" width="26.5703125" style="297" customWidth="1"/>
    <col min="1295" max="1295" width="7.7109375" style="297" customWidth="1"/>
    <col min="1296" max="1296" width="19.42578125" style="297" customWidth="1"/>
    <col min="1297" max="1297" width="44.28515625" style="297" customWidth="1"/>
    <col min="1298" max="1298" width="17" style="297" customWidth="1"/>
    <col min="1299" max="1299" width="15.5703125" style="297" customWidth="1"/>
    <col min="1300" max="1300" width="14.140625" style="297" customWidth="1"/>
    <col min="1301" max="1301" width="1.7109375" style="297" customWidth="1"/>
    <col min="1302" max="1302" width="13.7109375" style="297" customWidth="1"/>
    <col min="1303" max="1303" width="13.85546875" style="297" bestFit="1" customWidth="1"/>
    <col min="1304" max="1304" width="2.5703125" style="297" customWidth="1"/>
    <col min="1305" max="1305" width="12.42578125" style="297" customWidth="1"/>
    <col min="1306" max="1306" width="13.5703125" style="297" customWidth="1"/>
    <col min="1307" max="1307" width="2.5703125" style="297" customWidth="1"/>
    <col min="1308" max="1308" width="12.42578125" style="297" customWidth="1"/>
    <col min="1309" max="1309" width="13.5703125" style="297" customWidth="1"/>
    <col min="1310" max="1310" width="2.5703125" style="297" customWidth="1"/>
    <col min="1311" max="1311" width="11.5703125" style="297" customWidth="1"/>
    <col min="1312" max="1312" width="13" style="297" customWidth="1"/>
    <col min="1313" max="1313" width="1.42578125" style="297" customWidth="1"/>
    <col min="1314" max="1314" width="10.5703125" style="297" customWidth="1"/>
    <col min="1315" max="1546" width="11" style="297"/>
    <col min="1547" max="1547" width="1.5703125" style="297" customWidth="1"/>
    <col min="1548" max="1548" width="8.5703125" style="297" customWidth="1"/>
    <col min="1549" max="1549" width="28.7109375" style="297" customWidth="1"/>
    <col min="1550" max="1550" width="26.5703125" style="297" customWidth="1"/>
    <col min="1551" max="1551" width="7.7109375" style="297" customWidth="1"/>
    <col min="1552" max="1552" width="19.42578125" style="297" customWidth="1"/>
    <col min="1553" max="1553" width="44.28515625" style="297" customWidth="1"/>
    <col min="1554" max="1554" width="17" style="297" customWidth="1"/>
    <col min="1555" max="1555" width="15.5703125" style="297" customWidth="1"/>
    <col min="1556" max="1556" width="14.140625" style="297" customWidth="1"/>
    <col min="1557" max="1557" width="1.7109375" style="297" customWidth="1"/>
    <col min="1558" max="1558" width="13.7109375" style="297" customWidth="1"/>
    <col min="1559" max="1559" width="13.85546875" style="297" bestFit="1" customWidth="1"/>
    <col min="1560" max="1560" width="2.5703125" style="297" customWidth="1"/>
    <col min="1561" max="1561" width="12.42578125" style="297" customWidth="1"/>
    <col min="1562" max="1562" width="13.5703125" style="297" customWidth="1"/>
    <col min="1563" max="1563" width="2.5703125" style="297" customWidth="1"/>
    <col min="1564" max="1564" width="12.42578125" style="297" customWidth="1"/>
    <col min="1565" max="1565" width="13.5703125" style="297" customWidth="1"/>
    <col min="1566" max="1566" width="2.5703125" style="297" customWidth="1"/>
    <col min="1567" max="1567" width="11.5703125" style="297" customWidth="1"/>
    <col min="1568" max="1568" width="13" style="297" customWidth="1"/>
    <col min="1569" max="1569" width="1.42578125" style="297" customWidth="1"/>
    <col min="1570" max="1570" width="10.5703125" style="297" customWidth="1"/>
    <col min="1571" max="1802" width="11" style="297"/>
    <col min="1803" max="1803" width="1.5703125" style="297" customWidth="1"/>
    <col min="1804" max="1804" width="8.5703125" style="297" customWidth="1"/>
    <col min="1805" max="1805" width="28.7109375" style="297" customWidth="1"/>
    <col min="1806" max="1806" width="26.5703125" style="297" customWidth="1"/>
    <col min="1807" max="1807" width="7.7109375" style="297" customWidth="1"/>
    <col min="1808" max="1808" width="19.42578125" style="297" customWidth="1"/>
    <col min="1809" max="1809" width="44.28515625" style="297" customWidth="1"/>
    <col min="1810" max="1810" width="17" style="297" customWidth="1"/>
    <col min="1811" max="1811" width="15.5703125" style="297" customWidth="1"/>
    <col min="1812" max="1812" width="14.140625" style="297" customWidth="1"/>
    <col min="1813" max="1813" width="1.7109375" style="297" customWidth="1"/>
    <col min="1814" max="1814" width="13.7109375" style="297" customWidth="1"/>
    <col min="1815" max="1815" width="13.85546875" style="297" bestFit="1" customWidth="1"/>
    <col min="1816" max="1816" width="2.5703125" style="297" customWidth="1"/>
    <col min="1817" max="1817" width="12.42578125" style="297" customWidth="1"/>
    <col min="1818" max="1818" width="13.5703125" style="297" customWidth="1"/>
    <col min="1819" max="1819" width="2.5703125" style="297" customWidth="1"/>
    <col min="1820" max="1820" width="12.42578125" style="297" customWidth="1"/>
    <col min="1821" max="1821" width="13.5703125" style="297" customWidth="1"/>
    <col min="1822" max="1822" width="2.5703125" style="297" customWidth="1"/>
    <col min="1823" max="1823" width="11.5703125" style="297" customWidth="1"/>
    <col min="1824" max="1824" width="13" style="297" customWidth="1"/>
    <col min="1825" max="1825" width="1.42578125" style="297" customWidth="1"/>
    <col min="1826" max="1826" width="10.5703125" style="297" customWidth="1"/>
    <col min="1827" max="2058" width="11" style="297"/>
    <col min="2059" max="2059" width="1.5703125" style="297" customWidth="1"/>
    <col min="2060" max="2060" width="8.5703125" style="297" customWidth="1"/>
    <col min="2061" max="2061" width="28.7109375" style="297" customWidth="1"/>
    <col min="2062" max="2062" width="26.5703125" style="297" customWidth="1"/>
    <col min="2063" max="2063" width="7.7109375" style="297" customWidth="1"/>
    <col min="2064" max="2064" width="19.42578125" style="297" customWidth="1"/>
    <col min="2065" max="2065" width="44.28515625" style="297" customWidth="1"/>
    <col min="2066" max="2066" width="17" style="297" customWidth="1"/>
    <col min="2067" max="2067" width="15.5703125" style="297" customWidth="1"/>
    <col min="2068" max="2068" width="14.140625" style="297" customWidth="1"/>
    <col min="2069" max="2069" width="1.7109375" style="297" customWidth="1"/>
    <col min="2070" max="2070" width="13.7109375" style="297" customWidth="1"/>
    <col min="2071" max="2071" width="13.85546875" style="297" bestFit="1" customWidth="1"/>
    <col min="2072" max="2072" width="2.5703125" style="297" customWidth="1"/>
    <col min="2073" max="2073" width="12.42578125" style="297" customWidth="1"/>
    <col min="2074" max="2074" width="13.5703125" style="297" customWidth="1"/>
    <col min="2075" max="2075" width="2.5703125" style="297" customWidth="1"/>
    <col min="2076" max="2076" width="12.42578125" style="297" customWidth="1"/>
    <col min="2077" max="2077" width="13.5703125" style="297" customWidth="1"/>
    <col min="2078" max="2078" width="2.5703125" style="297" customWidth="1"/>
    <col min="2079" max="2079" width="11.5703125" style="297" customWidth="1"/>
    <col min="2080" max="2080" width="13" style="297" customWidth="1"/>
    <col min="2081" max="2081" width="1.42578125" style="297" customWidth="1"/>
    <col min="2082" max="2082" width="10.5703125" style="297" customWidth="1"/>
    <col min="2083" max="2314" width="11" style="297"/>
    <col min="2315" max="2315" width="1.5703125" style="297" customWidth="1"/>
    <col min="2316" max="2316" width="8.5703125" style="297" customWidth="1"/>
    <col min="2317" max="2317" width="28.7109375" style="297" customWidth="1"/>
    <col min="2318" max="2318" width="26.5703125" style="297" customWidth="1"/>
    <col min="2319" max="2319" width="7.7109375" style="297" customWidth="1"/>
    <col min="2320" max="2320" width="19.42578125" style="297" customWidth="1"/>
    <col min="2321" max="2321" width="44.28515625" style="297" customWidth="1"/>
    <col min="2322" max="2322" width="17" style="297" customWidth="1"/>
    <col min="2323" max="2323" width="15.5703125" style="297" customWidth="1"/>
    <col min="2324" max="2324" width="14.140625" style="297" customWidth="1"/>
    <col min="2325" max="2325" width="1.7109375" style="297" customWidth="1"/>
    <col min="2326" max="2326" width="13.7109375" style="297" customWidth="1"/>
    <col min="2327" max="2327" width="13.85546875" style="297" bestFit="1" customWidth="1"/>
    <col min="2328" max="2328" width="2.5703125" style="297" customWidth="1"/>
    <col min="2329" max="2329" width="12.42578125" style="297" customWidth="1"/>
    <col min="2330" max="2330" width="13.5703125" style="297" customWidth="1"/>
    <col min="2331" max="2331" width="2.5703125" style="297" customWidth="1"/>
    <col min="2332" max="2332" width="12.42578125" style="297" customWidth="1"/>
    <col min="2333" max="2333" width="13.5703125" style="297" customWidth="1"/>
    <col min="2334" max="2334" width="2.5703125" style="297" customWidth="1"/>
    <col min="2335" max="2335" width="11.5703125" style="297" customWidth="1"/>
    <col min="2336" max="2336" width="13" style="297" customWidth="1"/>
    <col min="2337" max="2337" width="1.42578125" style="297" customWidth="1"/>
    <col min="2338" max="2338" width="10.5703125" style="297" customWidth="1"/>
    <col min="2339" max="2570" width="11" style="297"/>
    <col min="2571" max="2571" width="1.5703125" style="297" customWidth="1"/>
    <col min="2572" max="2572" width="8.5703125" style="297" customWidth="1"/>
    <col min="2573" max="2573" width="28.7109375" style="297" customWidth="1"/>
    <col min="2574" max="2574" width="26.5703125" style="297" customWidth="1"/>
    <col min="2575" max="2575" width="7.7109375" style="297" customWidth="1"/>
    <col min="2576" max="2576" width="19.42578125" style="297" customWidth="1"/>
    <col min="2577" max="2577" width="44.28515625" style="297" customWidth="1"/>
    <col min="2578" max="2578" width="17" style="297" customWidth="1"/>
    <col min="2579" max="2579" width="15.5703125" style="297" customWidth="1"/>
    <col min="2580" max="2580" width="14.140625" style="297" customWidth="1"/>
    <col min="2581" max="2581" width="1.7109375" style="297" customWidth="1"/>
    <col min="2582" max="2582" width="13.7109375" style="297" customWidth="1"/>
    <col min="2583" max="2583" width="13.85546875" style="297" bestFit="1" customWidth="1"/>
    <col min="2584" max="2584" width="2.5703125" style="297" customWidth="1"/>
    <col min="2585" max="2585" width="12.42578125" style="297" customWidth="1"/>
    <col min="2586" max="2586" width="13.5703125" style="297" customWidth="1"/>
    <col min="2587" max="2587" width="2.5703125" style="297" customWidth="1"/>
    <col min="2588" max="2588" width="12.42578125" style="297" customWidth="1"/>
    <col min="2589" max="2589" width="13.5703125" style="297" customWidth="1"/>
    <col min="2590" max="2590" width="2.5703125" style="297" customWidth="1"/>
    <col min="2591" max="2591" width="11.5703125" style="297" customWidth="1"/>
    <col min="2592" max="2592" width="13" style="297" customWidth="1"/>
    <col min="2593" max="2593" width="1.42578125" style="297" customWidth="1"/>
    <col min="2594" max="2594" width="10.5703125" style="297" customWidth="1"/>
    <col min="2595" max="2826" width="11" style="297"/>
    <col min="2827" max="2827" width="1.5703125" style="297" customWidth="1"/>
    <col min="2828" max="2828" width="8.5703125" style="297" customWidth="1"/>
    <col min="2829" max="2829" width="28.7109375" style="297" customWidth="1"/>
    <col min="2830" max="2830" width="26.5703125" style="297" customWidth="1"/>
    <col min="2831" max="2831" width="7.7109375" style="297" customWidth="1"/>
    <col min="2832" max="2832" width="19.42578125" style="297" customWidth="1"/>
    <col min="2833" max="2833" width="44.28515625" style="297" customWidth="1"/>
    <col min="2834" max="2834" width="17" style="297" customWidth="1"/>
    <col min="2835" max="2835" width="15.5703125" style="297" customWidth="1"/>
    <col min="2836" max="2836" width="14.140625" style="297" customWidth="1"/>
    <col min="2837" max="2837" width="1.7109375" style="297" customWidth="1"/>
    <col min="2838" max="2838" width="13.7109375" style="297" customWidth="1"/>
    <col min="2839" max="2839" width="13.85546875" style="297" bestFit="1" customWidth="1"/>
    <col min="2840" max="2840" width="2.5703125" style="297" customWidth="1"/>
    <col min="2841" max="2841" width="12.42578125" style="297" customWidth="1"/>
    <col min="2842" max="2842" width="13.5703125" style="297" customWidth="1"/>
    <col min="2843" max="2843" width="2.5703125" style="297" customWidth="1"/>
    <col min="2844" max="2844" width="12.42578125" style="297" customWidth="1"/>
    <col min="2845" max="2845" width="13.5703125" style="297" customWidth="1"/>
    <col min="2846" max="2846" width="2.5703125" style="297" customWidth="1"/>
    <col min="2847" max="2847" width="11.5703125" style="297" customWidth="1"/>
    <col min="2848" max="2848" width="13" style="297" customWidth="1"/>
    <col min="2849" max="2849" width="1.42578125" style="297" customWidth="1"/>
    <col min="2850" max="2850" width="10.5703125" style="297" customWidth="1"/>
    <col min="2851" max="3082" width="11" style="297"/>
    <col min="3083" max="3083" width="1.5703125" style="297" customWidth="1"/>
    <col min="3084" max="3084" width="8.5703125" style="297" customWidth="1"/>
    <col min="3085" max="3085" width="28.7109375" style="297" customWidth="1"/>
    <col min="3086" max="3086" width="26.5703125" style="297" customWidth="1"/>
    <col min="3087" max="3087" width="7.7109375" style="297" customWidth="1"/>
    <col min="3088" max="3088" width="19.42578125" style="297" customWidth="1"/>
    <col min="3089" max="3089" width="44.28515625" style="297" customWidth="1"/>
    <col min="3090" max="3090" width="17" style="297" customWidth="1"/>
    <col min="3091" max="3091" width="15.5703125" style="297" customWidth="1"/>
    <col min="3092" max="3092" width="14.140625" style="297" customWidth="1"/>
    <col min="3093" max="3093" width="1.7109375" style="297" customWidth="1"/>
    <col min="3094" max="3094" width="13.7109375" style="297" customWidth="1"/>
    <col min="3095" max="3095" width="13.85546875" style="297" bestFit="1" customWidth="1"/>
    <col min="3096" max="3096" width="2.5703125" style="297" customWidth="1"/>
    <col min="3097" max="3097" width="12.42578125" style="297" customWidth="1"/>
    <col min="3098" max="3098" width="13.5703125" style="297" customWidth="1"/>
    <col min="3099" max="3099" width="2.5703125" style="297" customWidth="1"/>
    <col min="3100" max="3100" width="12.42578125" style="297" customWidth="1"/>
    <col min="3101" max="3101" width="13.5703125" style="297" customWidth="1"/>
    <col min="3102" max="3102" width="2.5703125" style="297" customWidth="1"/>
    <col min="3103" max="3103" width="11.5703125" style="297" customWidth="1"/>
    <col min="3104" max="3104" width="13" style="297" customWidth="1"/>
    <col min="3105" max="3105" width="1.42578125" style="297" customWidth="1"/>
    <col min="3106" max="3106" width="10.5703125" style="297" customWidth="1"/>
    <col min="3107" max="3338" width="11" style="297"/>
    <col min="3339" max="3339" width="1.5703125" style="297" customWidth="1"/>
    <col min="3340" max="3340" width="8.5703125" style="297" customWidth="1"/>
    <col min="3341" max="3341" width="28.7109375" style="297" customWidth="1"/>
    <col min="3342" max="3342" width="26.5703125" style="297" customWidth="1"/>
    <col min="3343" max="3343" width="7.7109375" style="297" customWidth="1"/>
    <col min="3344" max="3344" width="19.42578125" style="297" customWidth="1"/>
    <col min="3345" max="3345" width="44.28515625" style="297" customWidth="1"/>
    <col min="3346" max="3346" width="17" style="297" customWidth="1"/>
    <col min="3347" max="3347" width="15.5703125" style="297" customWidth="1"/>
    <col min="3348" max="3348" width="14.140625" style="297" customWidth="1"/>
    <col min="3349" max="3349" width="1.7109375" style="297" customWidth="1"/>
    <col min="3350" max="3350" width="13.7109375" style="297" customWidth="1"/>
    <col min="3351" max="3351" width="13.85546875" style="297" bestFit="1" customWidth="1"/>
    <col min="3352" max="3352" width="2.5703125" style="297" customWidth="1"/>
    <col min="3353" max="3353" width="12.42578125" style="297" customWidth="1"/>
    <col min="3354" max="3354" width="13.5703125" style="297" customWidth="1"/>
    <col min="3355" max="3355" width="2.5703125" style="297" customWidth="1"/>
    <col min="3356" max="3356" width="12.42578125" style="297" customWidth="1"/>
    <col min="3357" max="3357" width="13.5703125" style="297" customWidth="1"/>
    <col min="3358" max="3358" width="2.5703125" style="297" customWidth="1"/>
    <col min="3359" max="3359" width="11.5703125" style="297" customWidth="1"/>
    <col min="3360" max="3360" width="13" style="297" customWidth="1"/>
    <col min="3361" max="3361" width="1.42578125" style="297" customWidth="1"/>
    <col min="3362" max="3362" width="10.5703125" style="297" customWidth="1"/>
    <col min="3363" max="3594" width="11" style="297"/>
    <col min="3595" max="3595" width="1.5703125" style="297" customWidth="1"/>
    <col min="3596" max="3596" width="8.5703125" style="297" customWidth="1"/>
    <col min="3597" max="3597" width="28.7109375" style="297" customWidth="1"/>
    <col min="3598" max="3598" width="26.5703125" style="297" customWidth="1"/>
    <col min="3599" max="3599" width="7.7109375" style="297" customWidth="1"/>
    <col min="3600" max="3600" width="19.42578125" style="297" customWidth="1"/>
    <col min="3601" max="3601" width="44.28515625" style="297" customWidth="1"/>
    <col min="3602" max="3602" width="17" style="297" customWidth="1"/>
    <col min="3603" max="3603" width="15.5703125" style="297" customWidth="1"/>
    <col min="3604" max="3604" width="14.140625" style="297" customWidth="1"/>
    <col min="3605" max="3605" width="1.7109375" style="297" customWidth="1"/>
    <col min="3606" max="3606" width="13.7109375" style="297" customWidth="1"/>
    <col min="3607" max="3607" width="13.85546875" style="297" bestFit="1" customWidth="1"/>
    <col min="3608" max="3608" width="2.5703125" style="297" customWidth="1"/>
    <col min="3609" max="3609" width="12.42578125" style="297" customWidth="1"/>
    <col min="3610" max="3610" width="13.5703125" style="297" customWidth="1"/>
    <col min="3611" max="3611" width="2.5703125" style="297" customWidth="1"/>
    <col min="3612" max="3612" width="12.42578125" style="297" customWidth="1"/>
    <col min="3613" max="3613" width="13.5703125" style="297" customWidth="1"/>
    <col min="3614" max="3614" width="2.5703125" style="297" customWidth="1"/>
    <col min="3615" max="3615" width="11.5703125" style="297" customWidth="1"/>
    <col min="3616" max="3616" width="13" style="297" customWidth="1"/>
    <col min="3617" max="3617" width="1.42578125" style="297" customWidth="1"/>
    <col min="3618" max="3618" width="10.5703125" style="297" customWidth="1"/>
    <col min="3619" max="3850" width="11" style="297"/>
    <col min="3851" max="3851" width="1.5703125" style="297" customWidth="1"/>
    <col min="3852" max="3852" width="8.5703125" style="297" customWidth="1"/>
    <col min="3853" max="3853" width="28.7109375" style="297" customWidth="1"/>
    <col min="3854" max="3854" width="26.5703125" style="297" customWidth="1"/>
    <col min="3855" max="3855" width="7.7109375" style="297" customWidth="1"/>
    <col min="3856" max="3856" width="19.42578125" style="297" customWidth="1"/>
    <col min="3857" max="3857" width="44.28515625" style="297" customWidth="1"/>
    <col min="3858" max="3858" width="17" style="297" customWidth="1"/>
    <col min="3859" max="3859" width="15.5703125" style="297" customWidth="1"/>
    <col min="3860" max="3860" width="14.140625" style="297" customWidth="1"/>
    <col min="3861" max="3861" width="1.7109375" style="297" customWidth="1"/>
    <col min="3862" max="3862" width="13.7109375" style="297" customWidth="1"/>
    <col min="3863" max="3863" width="13.85546875" style="297" bestFit="1" customWidth="1"/>
    <col min="3864" max="3864" width="2.5703125" style="297" customWidth="1"/>
    <col min="3865" max="3865" width="12.42578125" style="297" customWidth="1"/>
    <col min="3866" max="3866" width="13.5703125" style="297" customWidth="1"/>
    <col min="3867" max="3867" width="2.5703125" style="297" customWidth="1"/>
    <col min="3868" max="3868" width="12.42578125" style="297" customWidth="1"/>
    <col min="3869" max="3869" width="13.5703125" style="297" customWidth="1"/>
    <col min="3870" max="3870" width="2.5703125" style="297" customWidth="1"/>
    <col min="3871" max="3871" width="11.5703125" style="297" customWidth="1"/>
    <col min="3872" max="3872" width="13" style="297" customWidth="1"/>
    <col min="3873" max="3873" width="1.42578125" style="297" customWidth="1"/>
    <col min="3874" max="3874" width="10.5703125" style="297" customWidth="1"/>
    <col min="3875" max="4106" width="11" style="297"/>
    <col min="4107" max="4107" width="1.5703125" style="297" customWidth="1"/>
    <col min="4108" max="4108" width="8.5703125" style="297" customWidth="1"/>
    <col min="4109" max="4109" width="28.7109375" style="297" customWidth="1"/>
    <col min="4110" max="4110" width="26.5703125" style="297" customWidth="1"/>
    <col min="4111" max="4111" width="7.7109375" style="297" customWidth="1"/>
    <col min="4112" max="4112" width="19.42578125" style="297" customWidth="1"/>
    <col min="4113" max="4113" width="44.28515625" style="297" customWidth="1"/>
    <col min="4114" max="4114" width="17" style="297" customWidth="1"/>
    <col min="4115" max="4115" width="15.5703125" style="297" customWidth="1"/>
    <col min="4116" max="4116" width="14.140625" style="297" customWidth="1"/>
    <col min="4117" max="4117" width="1.7109375" style="297" customWidth="1"/>
    <col min="4118" max="4118" width="13.7109375" style="297" customWidth="1"/>
    <col min="4119" max="4119" width="13.85546875" style="297" bestFit="1" customWidth="1"/>
    <col min="4120" max="4120" width="2.5703125" style="297" customWidth="1"/>
    <col min="4121" max="4121" width="12.42578125" style="297" customWidth="1"/>
    <col min="4122" max="4122" width="13.5703125" style="297" customWidth="1"/>
    <col min="4123" max="4123" width="2.5703125" style="297" customWidth="1"/>
    <col min="4124" max="4124" width="12.42578125" style="297" customWidth="1"/>
    <col min="4125" max="4125" width="13.5703125" style="297" customWidth="1"/>
    <col min="4126" max="4126" width="2.5703125" style="297" customWidth="1"/>
    <col min="4127" max="4127" width="11.5703125" style="297" customWidth="1"/>
    <col min="4128" max="4128" width="13" style="297" customWidth="1"/>
    <col min="4129" max="4129" width="1.42578125" style="297" customWidth="1"/>
    <col min="4130" max="4130" width="10.5703125" style="297" customWidth="1"/>
    <col min="4131" max="4362" width="11" style="297"/>
    <col min="4363" max="4363" width="1.5703125" style="297" customWidth="1"/>
    <col min="4364" max="4364" width="8.5703125" style="297" customWidth="1"/>
    <col min="4365" max="4365" width="28.7109375" style="297" customWidth="1"/>
    <col min="4366" max="4366" width="26.5703125" style="297" customWidth="1"/>
    <col min="4367" max="4367" width="7.7109375" style="297" customWidth="1"/>
    <col min="4368" max="4368" width="19.42578125" style="297" customWidth="1"/>
    <col min="4369" max="4369" width="44.28515625" style="297" customWidth="1"/>
    <col min="4370" max="4370" width="17" style="297" customWidth="1"/>
    <col min="4371" max="4371" width="15.5703125" style="297" customWidth="1"/>
    <col min="4372" max="4372" width="14.140625" style="297" customWidth="1"/>
    <col min="4373" max="4373" width="1.7109375" style="297" customWidth="1"/>
    <col min="4374" max="4374" width="13.7109375" style="297" customWidth="1"/>
    <col min="4375" max="4375" width="13.85546875" style="297" bestFit="1" customWidth="1"/>
    <col min="4376" max="4376" width="2.5703125" style="297" customWidth="1"/>
    <col min="4377" max="4377" width="12.42578125" style="297" customWidth="1"/>
    <col min="4378" max="4378" width="13.5703125" style="297" customWidth="1"/>
    <col min="4379" max="4379" width="2.5703125" style="297" customWidth="1"/>
    <col min="4380" max="4380" width="12.42578125" style="297" customWidth="1"/>
    <col min="4381" max="4381" width="13.5703125" style="297" customWidth="1"/>
    <col min="4382" max="4382" width="2.5703125" style="297" customWidth="1"/>
    <col min="4383" max="4383" width="11.5703125" style="297" customWidth="1"/>
    <col min="4384" max="4384" width="13" style="297" customWidth="1"/>
    <col min="4385" max="4385" width="1.42578125" style="297" customWidth="1"/>
    <col min="4386" max="4386" width="10.5703125" style="297" customWidth="1"/>
    <col min="4387" max="4618" width="11" style="297"/>
    <col min="4619" max="4619" width="1.5703125" style="297" customWidth="1"/>
    <col min="4620" max="4620" width="8.5703125" style="297" customWidth="1"/>
    <col min="4621" max="4621" width="28.7109375" style="297" customWidth="1"/>
    <col min="4622" max="4622" width="26.5703125" style="297" customWidth="1"/>
    <col min="4623" max="4623" width="7.7109375" style="297" customWidth="1"/>
    <col min="4624" max="4624" width="19.42578125" style="297" customWidth="1"/>
    <col min="4625" max="4625" width="44.28515625" style="297" customWidth="1"/>
    <col min="4626" max="4626" width="17" style="297" customWidth="1"/>
    <col min="4627" max="4627" width="15.5703125" style="297" customWidth="1"/>
    <col min="4628" max="4628" width="14.140625" style="297" customWidth="1"/>
    <col min="4629" max="4629" width="1.7109375" style="297" customWidth="1"/>
    <col min="4630" max="4630" width="13.7109375" style="297" customWidth="1"/>
    <col min="4631" max="4631" width="13.85546875" style="297" bestFit="1" customWidth="1"/>
    <col min="4632" max="4632" width="2.5703125" style="297" customWidth="1"/>
    <col min="4633" max="4633" width="12.42578125" style="297" customWidth="1"/>
    <col min="4634" max="4634" width="13.5703125" style="297" customWidth="1"/>
    <col min="4635" max="4635" width="2.5703125" style="297" customWidth="1"/>
    <col min="4636" max="4636" width="12.42578125" style="297" customWidth="1"/>
    <col min="4637" max="4637" width="13.5703125" style="297" customWidth="1"/>
    <col min="4638" max="4638" width="2.5703125" style="297" customWidth="1"/>
    <col min="4639" max="4639" width="11.5703125" style="297" customWidth="1"/>
    <col min="4640" max="4640" width="13" style="297" customWidth="1"/>
    <col min="4641" max="4641" width="1.42578125" style="297" customWidth="1"/>
    <col min="4642" max="4642" width="10.5703125" style="297" customWidth="1"/>
    <col min="4643" max="4874" width="11" style="297"/>
    <col min="4875" max="4875" width="1.5703125" style="297" customWidth="1"/>
    <col min="4876" max="4876" width="8.5703125" style="297" customWidth="1"/>
    <col min="4877" max="4877" width="28.7109375" style="297" customWidth="1"/>
    <col min="4878" max="4878" width="26.5703125" style="297" customWidth="1"/>
    <col min="4879" max="4879" width="7.7109375" style="297" customWidth="1"/>
    <col min="4880" max="4880" width="19.42578125" style="297" customWidth="1"/>
    <col min="4881" max="4881" width="44.28515625" style="297" customWidth="1"/>
    <col min="4882" max="4882" width="17" style="297" customWidth="1"/>
    <col min="4883" max="4883" width="15.5703125" style="297" customWidth="1"/>
    <col min="4884" max="4884" width="14.140625" style="297" customWidth="1"/>
    <col min="4885" max="4885" width="1.7109375" style="297" customWidth="1"/>
    <col min="4886" max="4886" width="13.7109375" style="297" customWidth="1"/>
    <col min="4887" max="4887" width="13.85546875" style="297" bestFit="1" customWidth="1"/>
    <col min="4888" max="4888" width="2.5703125" style="297" customWidth="1"/>
    <col min="4889" max="4889" width="12.42578125" style="297" customWidth="1"/>
    <col min="4890" max="4890" width="13.5703125" style="297" customWidth="1"/>
    <col min="4891" max="4891" width="2.5703125" style="297" customWidth="1"/>
    <col min="4892" max="4892" width="12.42578125" style="297" customWidth="1"/>
    <col min="4893" max="4893" width="13.5703125" style="297" customWidth="1"/>
    <col min="4894" max="4894" width="2.5703125" style="297" customWidth="1"/>
    <col min="4895" max="4895" width="11.5703125" style="297" customWidth="1"/>
    <col min="4896" max="4896" width="13" style="297" customWidth="1"/>
    <col min="4897" max="4897" width="1.42578125" style="297" customWidth="1"/>
    <col min="4898" max="4898" width="10.5703125" style="297" customWidth="1"/>
    <col min="4899" max="5130" width="11" style="297"/>
    <col min="5131" max="5131" width="1.5703125" style="297" customWidth="1"/>
    <col min="5132" max="5132" width="8.5703125" style="297" customWidth="1"/>
    <col min="5133" max="5133" width="28.7109375" style="297" customWidth="1"/>
    <col min="5134" max="5134" width="26.5703125" style="297" customWidth="1"/>
    <col min="5135" max="5135" width="7.7109375" style="297" customWidth="1"/>
    <col min="5136" max="5136" width="19.42578125" style="297" customWidth="1"/>
    <col min="5137" max="5137" width="44.28515625" style="297" customWidth="1"/>
    <col min="5138" max="5138" width="17" style="297" customWidth="1"/>
    <col min="5139" max="5139" width="15.5703125" style="297" customWidth="1"/>
    <col min="5140" max="5140" width="14.140625" style="297" customWidth="1"/>
    <col min="5141" max="5141" width="1.7109375" style="297" customWidth="1"/>
    <col min="5142" max="5142" width="13.7109375" style="297" customWidth="1"/>
    <col min="5143" max="5143" width="13.85546875" style="297" bestFit="1" customWidth="1"/>
    <col min="5144" max="5144" width="2.5703125" style="297" customWidth="1"/>
    <col min="5145" max="5145" width="12.42578125" style="297" customWidth="1"/>
    <col min="5146" max="5146" width="13.5703125" style="297" customWidth="1"/>
    <col min="5147" max="5147" width="2.5703125" style="297" customWidth="1"/>
    <col min="5148" max="5148" width="12.42578125" style="297" customWidth="1"/>
    <col min="5149" max="5149" width="13.5703125" style="297" customWidth="1"/>
    <col min="5150" max="5150" width="2.5703125" style="297" customWidth="1"/>
    <col min="5151" max="5151" width="11.5703125" style="297" customWidth="1"/>
    <col min="5152" max="5152" width="13" style="297" customWidth="1"/>
    <col min="5153" max="5153" width="1.42578125" style="297" customWidth="1"/>
    <col min="5154" max="5154" width="10.5703125" style="297" customWidth="1"/>
    <col min="5155" max="5386" width="11" style="297"/>
    <col min="5387" max="5387" width="1.5703125" style="297" customWidth="1"/>
    <col min="5388" max="5388" width="8.5703125" style="297" customWidth="1"/>
    <col min="5389" max="5389" width="28.7109375" style="297" customWidth="1"/>
    <col min="5390" max="5390" width="26.5703125" style="297" customWidth="1"/>
    <col min="5391" max="5391" width="7.7109375" style="297" customWidth="1"/>
    <col min="5392" max="5392" width="19.42578125" style="297" customWidth="1"/>
    <col min="5393" max="5393" width="44.28515625" style="297" customWidth="1"/>
    <col min="5394" max="5394" width="17" style="297" customWidth="1"/>
    <col min="5395" max="5395" width="15.5703125" style="297" customWidth="1"/>
    <col min="5396" max="5396" width="14.140625" style="297" customWidth="1"/>
    <col min="5397" max="5397" width="1.7109375" style="297" customWidth="1"/>
    <col min="5398" max="5398" width="13.7109375" style="297" customWidth="1"/>
    <col min="5399" max="5399" width="13.85546875" style="297" bestFit="1" customWidth="1"/>
    <col min="5400" max="5400" width="2.5703125" style="297" customWidth="1"/>
    <col min="5401" max="5401" width="12.42578125" style="297" customWidth="1"/>
    <col min="5402" max="5402" width="13.5703125" style="297" customWidth="1"/>
    <col min="5403" max="5403" width="2.5703125" style="297" customWidth="1"/>
    <col min="5404" max="5404" width="12.42578125" style="297" customWidth="1"/>
    <col min="5405" max="5405" width="13.5703125" style="297" customWidth="1"/>
    <col min="5406" max="5406" width="2.5703125" style="297" customWidth="1"/>
    <col min="5407" max="5407" width="11.5703125" style="297" customWidth="1"/>
    <col min="5408" max="5408" width="13" style="297" customWidth="1"/>
    <col min="5409" max="5409" width="1.42578125" style="297" customWidth="1"/>
    <col min="5410" max="5410" width="10.5703125" style="297" customWidth="1"/>
    <col min="5411" max="5642" width="11" style="297"/>
    <col min="5643" max="5643" width="1.5703125" style="297" customWidth="1"/>
    <col min="5644" max="5644" width="8.5703125" style="297" customWidth="1"/>
    <col min="5645" max="5645" width="28.7109375" style="297" customWidth="1"/>
    <col min="5646" max="5646" width="26.5703125" style="297" customWidth="1"/>
    <col min="5647" max="5647" width="7.7109375" style="297" customWidth="1"/>
    <col min="5648" max="5648" width="19.42578125" style="297" customWidth="1"/>
    <col min="5649" max="5649" width="44.28515625" style="297" customWidth="1"/>
    <col min="5650" max="5650" width="17" style="297" customWidth="1"/>
    <col min="5651" max="5651" width="15.5703125" style="297" customWidth="1"/>
    <col min="5652" max="5652" width="14.140625" style="297" customWidth="1"/>
    <col min="5653" max="5653" width="1.7109375" style="297" customWidth="1"/>
    <col min="5654" max="5654" width="13.7109375" style="297" customWidth="1"/>
    <col min="5655" max="5655" width="13.85546875" style="297" bestFit="1" customWidth="1"/>
    <col min="5656" max="5656" width="2.5703125" style="297" customWidth="1"/>
    <col min="5657" max="5657" width="12.42578125" style="297" customWidth="1"/>
    <col min="5658" max="5658" width="13.5703125" style="297" customWidth="1"/>
    <col min="5659" max="5659" width="2.5703125" style="297" customWidth="1"/>
    <col min="5660" max="5660" width="12.42578125" style="297" customWidth="1"/>
    <col min="5661" max="5661" width="13.5703125" style="297" customWidth="1"/>
    <col min="5662" max="5662" width="2.5703125" style="297" customWidth="1"/>
    <col min="5663" max="5663" width="11.5703125" style="297" customWidth="1"/>
    <col min="5664" max="5664" width="13" style="297" customWidth="1"/>
    <col min="5665" max="5665" width="1.42578125" style="297" customWidth="1"/>
    <col min="5666" max="5666" width="10.5703125" style="297" customWidth="1"/>
    <col min="5667" max="5898" width="11" style="297"/>
    <col min="5899" max="5899" width="1.5703125" style="297" customWidth="1"/>
    <col min="5900" max="5900" width="8.5703125" style="297" customWidth="1"/>
    <col min="5901" max="5901" width="28.7109375" style="297" customWidth="1"/>
    <col min="5902" max="5902" width="26.5703125" style="297" customWidth="1"/>
    <col min="5903" max="5903" width="7.7109375" style="297" customWidth="1"/>
    <col min="5904" max="5904" width="19.42578125" style="297" customWidth="1"/>
    <col min="5905" max="5905" width="44.28515625" style="297" customWidth="1"/>
    <col min="5906" max="5906" width="17" style="297" customWidth="1"/>
    <col min="5907" max="5907" width="15.5703125" style="297" customWidth="1"/>
    <col min="5908" max="5908" width="14.140625" style="297" customWidth="1"/>
    <col min="5909" max="5909" width="1.7109375" style="297" customWidth="1"/>
    <col min="5910" max="5910" width="13.7109375" style="297" customWidth="1"/>
    <col min="5911" max="5911" width="13.85546875" style="297" bestFit="1" customWidth="1"/>
    <col min="5912" max="5912" width="2.5703125" style="297" customWidth="1"/>
    <col min="5913" max="5913" width="12.42578125" style="297" customWidth="1"/>
    <col min="5914" max="5914" width="13.5703125" style="297" customWidth="1"/>
    <col min="5915" max="5915" width="2.5703125" style="297" customWidth="1"/>
    <col min="5916" max="5916" width="12.42578125" style="297" customWidth="1"/>
    <col min="5917" max="5917" width="13.5703125" style="297" customWidth="1"/>
    <col min="5918" max="5918" width="2.5703125" style="297" customWidth="1"/>
    <col min="5919" max="5919" width="11.5703125" style="297" customWidth="1"/>
    <col min="5920" max="5920" width="13" style="297" customWidth="1"/>
    <col min="5921" max="5921" width="1.42578125" style="297" customWidth="1"/>
    <col min="5922" max="5922" width="10.5703125" style="297" customWidth="1"/>
    <col min="5923" max="6154" width="11" style="297"/>
    <col min="6155" max="6155" width="1.5703125" style="297" customWidth="1"/>
    <col min="6156" max="6156" width="8.5703125" style="297" customWidth="1"/>
    <col min="6157" max="6157" width="28.7109375" style="297" customWidth="1"/>
    <col min="6158" max="6158" width="26.5703125" style="297" customWidth="1"/>
    <col min="6159" max="6159" width="7.7109375" style="297" customWidth="1"/>
    <col min="6160" max="6160" width="19.42578125" style="297" customWidth="1"/>
    <col min="6161" max="6161" width="44.28515625" style="297" customWidth="1"/>
    <col min="6162" max="6162" width="17" style="297" customWidth="1"/>
    <col min="6163" max="6163" width="15.5703125" style="297" customWidth="1"/>
    <col min="6164" max="6164" width="14.140625" style="297" customWidth="1"/>
    <col min="6165" max="6165" width="1.7109375" style="297" customWidth="1"/>
    <col min="6166" max="6166" width="13.7109375" style="297" customWidth="1"/>
    <col min="6167" max="6167" width="13.85546875" style="297" bestFit="1" customWidth="1"/>
    <col min="6168" max="6168" width="2.5703125" style="297" customWidth="1"/>
    <col min="6169" max="6169" width="12.42578125" style="297" customWidth="1"/>
    <col min="6170" max="6170" width="13.5703125" style="297" customWidth="1"/>
    <col min="6171" max="6171" width="2.5703125" style="297" customWidth="1"/>
    <col min="6172" max="6172" width="12.42578125" style="297" customWidth="1"/>
    <col min="6173" max="6173" width="13.5703125" style="297" customWidth="1"/>
    <col min="6174" max="6174" width="2.5703125" style="297" customWidth="1"/>
    <col min="6175" max="6175" width="11.5703125" style="297" customWidth="1"/>
    <col min="6176" max="6176" width="13" style="297" customWidth="1"/>
    <col min="6177" max="6177" width="1.42578125" style="297" customWidth="1"/>
    <col min="6178" max="6178" width="10.5703125" style="297" customWidth="1"/>
    <col min="6179" max="6410" width="11" style="297"/>
    <col min="6411" max="6411" width="1.5703125" style="297" customWidth="1"/>
    <col min="6412" max="6412" width="8.5703125" style="297" customWidth="1"/>
    <col min="6413" max="6413" width="28.7109375" style="297" customWidth="1"/>
    <col min="6414" max="6414" width="26.5703125" style="297" customWidth="1"/>
    <col min="6415" max="6415" width="7.7109375" style="297" customWidth="1"/>
    <col min="6416" max="6416" width="19.42578125" style="297" customWidth="1"/>
    <col min="6417" max="6417" width="44.28515625" style="297" customWidth="1"/>
    <col min="6418" max="6418" width="17" style="297" customWidth="1"/>
    <col min="6419" max="6419" width="15.5703125" style="297" customWidth="1"/>
    <col min="6420" max="6420" width="14.140625" style="297" customWidth="1"/>
    <col min="6421" max="6421" width="1.7109375" style="297" customWidth="1"/>
    <col min="6422" max="6422" width="13.7109375" style="297" customWidth="1"/>
    <col min="6423" max="6423" width="13.85546875" style="297" bestFit="1" customWidth="1"/>
    <col min="6424" max="6424" width="2.5703125" style="297" customWidth="1"/>
    <col min="6425" max="6425" width="12.42578125" style="297" customWidth="1"/>
    <col min="6426" max="6426" width="13.5703125" style="297" customWidth="1"/>
    <col min="6427" max="6427" width="2.5703125" style="297" customWidth="1"/>
    <col min="6428" max="6428" width="12.42578125" style="297" customWidth="1"/>
    <col min="6429" max="6429" width="13.5703125" style="297" customWidth="1"/>
    <col min="6430" max="6430" width="2.5703125" style="297" customWidth="1"/>
    <col min="6431" max="6431" width="11.5703125" style="297" customWidth="1"/>
    <col min="6432" max="6432" width="13" style="297" customWidth="1"/>
    <col min="6433" max="6433" width="1.42578125" style="297" customWidth="1"/>
    <col min="6434" max="6434" width="10.5703125" style="297" customWidth="1"/>
    <col min="6435" max="6666" width="11" style="297"/>
    <col min="6667" max="6667" width="1.5703125" style="297" customWidth="1"/>
    <col min="6668" max="6668" width="8.5703125" style="297" customWidth="1"/>
    <col min="6669" max="6669" width="28.7109375" style="297" customWidth="1"/>
    <col min="6670" max="6670" width="26.5703125" style="297" customWidth="1"/>
    <col min="6671" max="6671" width="7.7109375" style="297" customWidth="1"/>
    <col min="6672" max="6672" width="19.42578125" style="297" customWidth="1"/>
    <col min="6673" max="6673" width="44.28515625" style="297" customWidth="1"/>
    <col min="6674" max="6674" width="17" style="297" customWidth="1"/>
    <col min="6675" max="6675" width="15.5703125" style="297" customWidth="1"/>
    <col min="6676" max="6676" width="14.140625" style="297" customWidth="1"/>
    <col min="6677" max="6677" width="1.7109375" style="297" customWidth="1"/>
    <col min="6678" max="6678" width="13.7109375" style="297" customWidth="1"/>
    <col min="6679" max="6679" width="13.85546875" style="297" bestFit="1" customWidth="1"/>
    <col min="6680" max="6680" width="2.5703125" style="297" customWidth="1"/>
    <col min="6681" max="6681" width="12.42578125" style="297" customWidth="1"/>
    <col min="6682" max="6682" width="13.5703125" style="297" customWidth="1"/>
    <col min="6683" max="6683" width="2.5703125" style="297" customWidth="1"/>
    <col min="6684" max="6684" width="12.42578125" style="297" customWidth="1"/>
    <col min="6685" max="6685" width="13.5703125" style="297" customWidth="1"/>
    <col min="6686" max="6686" width="2.5703125" style="297" customWidth="1"/>
    <col min="6687" max="6687" width="11.5703125" style="297" customWidth="1"/>
    <col min="6688" max="6688" width="13" style="297" customWidth="1"/>
    <col min="6689" max="6689" width="1.42578125" style="297" customWidth="1"/>
    <col min="6690" max="6690" width="10.5703125" style="297" customWidth="1"/>
    <col min="6691" max="6922" width="11" style="297"/>
    <col min="6923" max="6923" width="1.5703125" style="297" customWidth="1"/>
    <col min="6924" max="6924" width="8.5703125" style="297" customWidth="1"/>
    <col min="6925" max="6925" width="28.7109375" style="297" customWidth="1"/>
    <col min="6926" max="6926" width="26.5703125" style="297" customWidth="1"/>
    <col min="6927" max="6927" width="7.7109375" style="297" customWidth="1"/>
    <col min="6928" max="6928" width="19.42578125" style="297" customWidth="1"/>
    <col min="6929" max="6929" width="44.28515625" style="297" customWidth="1"/>
    <col min="6930" max="6930" width="17" style="297" customWidth="1"/>
    <col min="6931" max="6931" width="15.5703125" style="297" customWidth="1"/>
    <col min="6932" max="6932" width="14.140625" style="297" customWidth="1"/>
    <col min="6933" max="6933" width="1.7109375" style="297" customWidth="1"/>
    <col min="6934" max="6934" width="13.7109375" style="297" customWidth="1"/>
    <col min="6935" max="6935" width="13.85546875" style="297" bestFit="1" customWidth="1"/>
    <col min="6936" max="6936" width="2.5703125" style="297" customWidth="1"/>
    <col min="6937" max="6937" width="12.42578125" style="297" customWidth="1"/>
    <col min="6938" max="6938" width="13.5703125" style="297" customWidth="1"/>
    <col min="6939" max="6939" width="2.5703125" style="297" customWidth="1"/>
    <col min="6940" max="6940" width="12.42578125" style="297" customWidth="1"/>
    <col min="6941" max="6941" width="13.5703125" style="297" customWidth="1"/>
    <col min="6942" max="6942" width="2.5703125" style="297" customWidth="1"/>
    <col min="6943" max="6943" width="11.5703125" style="297" customWidth="1"/>
    <col min="6944" max="6944" width="13" style="297" customWidth="1"/>
    <col min="6945" max="6945" width="1.42578125" style="297" customWidth="1"/>
    <col min="6946" max="6946" width="10.5703125" style="297" customWidth="1"/>
    <col min="6947" max="7178" width="11" style="297"/>
    <col min="7179" max="7179" width="1.5703125" style="297" customWidth="1"/>
    <col min="7180" max="7180" width="8.5703125" style="297" customWidth="1"/>
    <col min="7181" max="7181" width="28.7109375" style="297" customWidth="1"/>
    <col min="7182" max="7182" width="26.5703125" style="297" customWidth="1"/>
    <col min="7183" max="7183" width="7.7109375" style="297" customWidth="1"/>
    <col min="7184" max="7184" width="19.42578125" style="297" customWidth="1"/>
    <col min="7185" max="7185" width="44.28515625" style="297" customWidth="1"/>
    <col min="7186" max="7186" width="17" style="297" customWidth="1"/>
    <col min="7187" max="7187" width="15.5703125" style="297" customWidth="1"/>
    <col min="7188" max="7188" width="14.140625" style="297" customWidth="1"/>
    <col min="7189" max="7189" width="1.7109375" style="297" customWidth="1"/>
    <col min="7190" max="7190" width="13.7109375" style="297" customWidth="1"/>
    <col min="7191" max="7191" width="13.85546875" style="297" bestFit="1" customWidth="1"/>
    <col min="7192" max="7192" width="2.5703125" style="297" customWidth="1"/>
    <col min="7193" max="7193" width="12.42578125" style="297" customWidth="1"/>
    <col min="7194" max="7194" width="13.5703125" style="297" customWidth="1"/>
    <col min="7195" max="7195" width="2.5703125" style="297" customWidth="1"/>
    <col min="7196" max="7196" width="12.42578125" style="297" customWidth="1"/>
    <col min="7197" max="7197" width="13.5703125" style="297" customWidth="1"/>
    <col min="7198" max="7198" width="2.5703125" style="297" customWidth="1"/>
    <col min="7199" max="7199" width="11.5703125" style="297" customWidth="1"/>
    <col min="7200" max="7200" width="13" style="297" customWidth="1"/>
    <col min="7201" max="7201" width="1.42578125" style="297" customWidth="1"/>
    <col min="7202" max="7202" width="10.5703125" style="297" customWidth="1"/>
    <col min="7203" max="7434" width="11" style="297"/>
    <col min="7435" max="7435" width="1.5703125" style="297" customWidth="1"/>
    <col min="7436" max="7436" width="8.5703125" style="297" customWidth="1"/>
    <col min="7437" max="7437" width="28.7109375" style="297" customWidth="1"/>
    <col min="7438" max="7438" width="26.5703125" style="297" customWidth="1"/>
    <col min="7439" max="7439" width="7.7109375" style="297" customWidth="1"/>
    <col min="7440" max="7440" width="19.42578125" style="297" customWidth="1"/>
    <col min="7441" max="7441" width="44.28515625" style="297" customWidth="1"/>
    <col min="7442" max="7442" width="17" style="297" customWidth="1"/>
    <col min="7443" max="7443" width="15.5703125" style="297" customWidth="1"/>
    <col min="7444" max="7444" width="14.140625" style="297" customWidth="1"/>
    <col min="7445" max="7445" width="1.7109375" style="297" customWidth="1"/>
    <col min="7446" max="7446" width="13.7109375" style="297" customWidth="1"/>
    <col min="7447" max="7447" width="13.85546875" style="297" bestFit="1" customWidth="1"/>
    <col min="7448" max="7448" width="2.5703125" style="297" customWidth="1"/>
    <col min="7449" max="7449" width="12.42578125" style="297" customWidth="1"/>
    <col min="7450" max="7450" width="13.5703125" style="297" customWidth="1"/>
    <col min="7451" max="7451" width="2.5703125" style="297" customWidth="1"/>
    <col min="7452" max="7452" width="12.42578125" style="297" customWidth="1"/>
    <col min="7453" max="7453" width="13.5703125" style="297" customWidth="1"/>
    <col min="7454" max="7454" width="2.5703125" style="297" customWidth="1"/>
    <col min="7455" max="7455" width="11.5703125" style="297" customWidth="1"/>
    <col min="7456" max="7456" width="13" style="297" customWidth="1"/>
    <col min="7457" max="7457" width="1.42578125" style="297" customWidth="1"/>
    <col min="7458" max="7458" width="10.5703125" style="297" customWidth="1"/>
    <col min="7459" max="7690" width="11" style="297"/>
    <col min="7691" max="7691" width="1.5703125" style="297" customWidth="1"/>
    <col min="7692" max="7692" width="8.5703125" style="297" customWidth="1"/>
    <col min="7693" max="7693" width="28.7109375" style="297" customWidth="1"/>
    <col min="7694" max="7694" width="26.5703125" style="297" customWidth="1"/>
    <col min="7695" max="7695" width="7.7109375" style="297" customWidth="1"/>
    <col min="7696" max="7696" width="19.42578125" style="297" customWidth="1"/>
    <col min="7697" max="7697" width="44.28515625" style="297" customWidth="1"/>
    <col min="7698" max="7698" width="17" style="297" customWidth="1"/>
    <col min="7699" max="7699" width="15.5703125" style="297" customWidth="1"/>
    <col min="7700" max="7700" width="14.140625" style="297" customWidth="1"/>
    <col min="7701" max="7701" width="1.7109375" style="297" customWidth="1"/>
    <col min="7702" max="7702" width="13.7109375" style="297" customWidth="1"/>
    <col min="7703" max="7703" width="13.85546875" style="297" bestFit="1" customWidth="1"/>
    <col min="7704" max="7704" width="2.5703125" style="297" customWidth="1"/>
    <col min="7705" max="7705" width="12.42578125" style="297" customWidth="1"/>
    <col min="7706" max="7706" width="13.5703125" style="297" customWidth="1"/>
    <col min="7707" max="7707" width="2.5703125" style="297" customWidth="1"/>
    <col min="7708" max="7708" width="12.42578125" style="297" customWidth="1"/>
    <col min="7709" max="7709" width="13.5703125" style="297" customWidth="1"/>
    <col min="7710" max="7710" width="2.5703125" style="297" customWidth="1"/>
    <col min="7711" max="7711" width="11.5703125" style="297" customWidth="1"/>
    <col min="7712" max="7712" width="13" style="297" customWidth="1"/>
    <col min="7713" max="7713" width="1.42578125" style="297" customWidth="1"/>
    <col min="7714" max="7714" width="10.5703125" style="297" customWidth="1"/>
    <col min="7715" max="7946" width="11" style="297"/>
    <col min="7947" max="7947" width="1.5703125" style="297" customWidth="1"/>
    <col min="7948" max="7948" width="8.5703125" style="297" customWidth="1"/>
    <col min="7949" max="7949" width="28.7109375" style="297" customWidth="1"/>
    <col min="7950" max="7950" width="26.5703125" style="297" customWidth="1"/>
    <col min="7951" max="7951" width="7.7109375" style="297" customWidth="1"/>
    <col min="7952" max="7952" width="19.42578125" style="297" customWidth="1"/>
    <col min="7953" max="7953" width="44.28515625" style="297" customWidth="1"/>
    <col min="7954" max="7954" width="17" style="297" customWidth="1"/>
    <col min="7955" max="7955" width="15.5703125" style="297" customWidth="1"/>
    <col min="7956" max="7956" width="14.140625" style="297" customWidth="1"/>
    <col min="7957" max="7957" width="1.7109375" style="297" customWidth="1"/>
    <col min="7958" max="7958" width="13.7109375" style="297" customWidth="1"/>
    <col min="7959" max="7959" width="13.85546875" style="297" bestFit="1" customWidth="1"/>
    <col min="7960" max="7960" width="2.5703125" style="297" customWidth="1"/>
    <col min="7961" max="7961" width="12.42578125" style="297" customWidth="1"/>
    <col min="7962" max="7962" width="13.5703125" style="297" customWidth="1"/>
    <col min="7963" max="7963" width="2.5703125" style="297" customWidth="1"/>
    <col min="7964" max="7964" width="12.42578125" style="297" customWidth="1"/>
    <col min="7965" max="7965" width="13.5703125" style="297" customWidth="1"/>
    <col min="7966" max="7966" width="2.5703125" style="297" customWidth="1"/>
    <col min="7967" max="7967" width="11.5703125" style="297" customWidth="1"/>
    <col min="7968" max="7968" width="13" style="297" customWidth="1"/>
    <col min="7969" max="7969" width="1.42578125" style="297" customWidth="1"/>
    <col min="7970" max="7970" width="10.5703125" style="297" customWidth="1"/>
    <col min="7971" max="8202" width="11" style="297"/>
    <col min="8203" max="8203" width="1.5703125" style="297" customWidth="1"/>
    <col min="8204" max="8204" width="8.5703125" style="297" customWidth="1"/>
    <col min="8205" max="8205" width="28.7109375" style="297" customWidth="1"/>
    <col min="8206" max="8206" width="26.5703125" style="297" customWidth="1"/>
    <col min="8207" max="8207" width="7.7109375" style="297" customWidth="1"/>
    <col min="8208" max="8208" width="19.42578125" style="297" customWidth="1"/>
    <col min="8209" max="8209" width="44.28515625" style="297" customWidth="1"/>
    <col min="8210" max="8210" width="17" style="297" customWidth="1"/>
    <col min="8211" max="8211" width="15.5703125" style="297" customWidth="1"/>
    <col min="8212" max="8212" width="14.140625" style="297" customWidth="1"/>
    <col min="8213" max="8213" width="1.7109375" style="297" customWidth="1"/>
    <col min="8214" max="8214" width="13.7109375" style="297" customWidth="1"/>
    <col min="8215" max="8215" width="13.85546875" style="297" bestFit="1" customWidth="1"/>
    <col min="8216" max="8216" width="2.5703125" style="297" customWidth="1"/>
    <col min="8217" max="8217" width="12.42578125" style="297" customWidth="1"/>
    <col min="8218" max="8218" width="13.5703125" style="297" customWidth="1"/>
    <col min="8219" max="8219" width="2.5703125" style="297" customWidth="1"/>
    <col min="8220" max="8220" width="12.42578125" style="297" customWidth="1"/>
    <col min="8221" max="8221" width="13.5703125" style="297" customWidth="1"/>
    <col min="8222" max="8222" width="2.5703125" style="297" customWidth="1"/>
    <col min="8223" max="8223" width="11.5703125" style="297" customWidth="1"/>
    <col min="8224" max="8224" width="13" style="297" customWidth="1"/>
    <col min="8225" max="8225" width="1.42578125" style="297" customWidth="1"/>
    <col min="8226" max="8226" width="10.5703125" style="297" customWidth="1"/>
    <col min="8227" max="8458" width="11" style="297"/>
    <col min="8459" max="8459" width="1.5703125" style="297" customWidth="1"/>
    <col min="8460" max="8460" width="8.5703125" style="297" customWidth="1"/>
    <col min="8461" max="8461" width="28.7109375" style="297" customWidth="1"/>
    <col min="8462" max="8462" width="26.5703125" style="297" customWidth="1"/>
    <col min="8463" max="8463" width="7.7109375" style="297" customWidth="1"/>
    <col min="8464" max="8464" width="19.42578125" style="297" customWidth="1"/>
    <col min="8465" max="8465" width="44.28515625" style="297" customWidth="1"/>
    <col min="8466" max="8466" width="17" style="297" customWidth="1"/>
    <col min="8467" max="8467" width="15.5703125" style="297" customWidth="1"/>
    <col min="8468" max="8468" width="14.140625" style="297" customWidth="1"/>
    <col min="8469" max="8469" width="1.7109375" style="297" customWidth="1"/>
    <col min="8470" max="8470" width="13.7109375" style="297" customWidth="1"/>
    <col min="8471" max="8471" width="13.85546875" style="297" bestFit="1" customWidth="1"/>
    <col min="8472" max="8472" width="2.5703125" style="297" customWidth="1"/>
    <col min="8473" max="8473" width="12.42578125" style="297" customWidth="1"/>
    <col min="8474" max="8474" width="13.5703125" style="297" customWidth="1"/>
    <col min="8475" max="8475" width="2.5703125" style="297" customWidth="1"/>
    <col min="8476" max="8476" width="12.42578125" style="297" customWidth="1"/>
    <col min="8477" max="8477" width="13.5703125" style="297" customWidth="1"/>
    <col min="8478" max="8478" width="2.5703125" style="297" customWidth="1"/>
    <col min="8479" max="8479" width="11.5703125" style="297" customWidth="1"/>
    <col min="8480" max="8480" width="13" style="297" customWidth="1"/>
    <col min="8481" max="8481" width="1.42578125" style="297" customWidth="1"/>
    <col min="8482" max="8482" width="10.5703125" style="297" customWidth="1"/>
    <col min="8483" max="8714" width="11" style="297"/>
    <col min="8715" max="8715" width="1.5703125" style="297" customWidth="1"/>
    <col min="8716" max="8716" width="8.5703125" style="297" customWidth="1"/>
    <col min="8717" max="8717" width="28.7109375" style="297" customWidth="1"/>
    <col min="8718" max="8718" width="26.5703125" style="297" customWidth="1"/>
    <col min="8719" max="8719" width="7.7109375" style="297" customWidth="1"/>
    <col min="8720" max="8720" width="19.42578125" style="297" customWidth="1"/>
    <col min="8721" max="8721" width="44.28515625" style="297" customWidth="1"/>
    <col min="8722" max="8722" width="17" style="297" customWidth="1"/>
    <col min="8723" max="8723" width="15.5703125" style="297" customWidth="1"/>
    <col min="8724" max="8724" width="14.140625" style="297" customWidth="1"/>
    <col min="8725" max="8725" width="1.7109375" style="297" customWidth="1"/>
    <col min="8726" max="8726" width="13.7109375" style="297" customWidth="1"/>
    <col min="8727" max="8727" width="13.85546875" style="297" bestFit="1" customWidth="1"/>
    <col min="8728" max="8728" width="2.5703125" style="297" customWidth="1"/>
    <col min="8729" max="8729" width="12.42578125" style="297" customWidth="1"/>
    <col min="8730" max="8730" width="13.5703125" style="297" customWidth="1"/>
    <col min="8731" max="8731" width="2.5703125" style="297" customWidth="1"/>
    <col min="8732" max="8732" width="12.42578125" style="297" customWidth="1"/>
    <col min="8733" max="8733" width="13.5703125" style="297" customWidth="1"/>
    <col min="8734" max="8734" width="2.5703125" style="297" customWidth="1"/>
    <col min="8735" max="8735" width="11.5703125" style="297" customWidth="1"/>
    <col min="8736" max="8736" width="13" style="297" customWidth="1"/>
    <col min="8737" max="8737" width="1.42578125" style="297" customWidth="1"/>
    <col min="8738" max="8738" width="10.5703125" style="297" customWidth="1"/>
    <col min="8739" max="8970" width="11" style="297"/>
    <col min="8971" max="8971" width="1.5703125" style="297" customWidth="1"/>
    <col min="8972" max="8972" width="8.5703125" style="297" customWidth="1"/>
    <col min="8973" max="8973" width="28.7109375" style="297" customWidth="1"/>
    <col min="8974" max="8974" width="26.5703125" style="297" customWidth="1"/>
    <col min="8975" max="8975" width="7.7109375" style="297" customWidth="1"/>
    <col min="8976" max="8976" width="19.42578125" style="297" customWidth="1"/>
    <col min="8977" max="8977" width="44.28515625" style="297" customWidth="1"/>
    <col min="8978" max="8978" width="17" style="297" customWidth="1"/>
    <col min="8979" max="8979" width="15.5703125" style="297" customWidth="1"/>
    <col min="8980" max="8980" width="14.140625" style="297" customWidth="1"/>
    <col min="8981" max="8981" width="1.7109375" style="297" customWidth="1"/>
    <col min="8982" max="8982" width="13.7109375" style="297" customWidth="1"/>
    <col min="8983" max="8983" width="13.85546875" style="297" bestFit="1" customWidth="1"/>
    <col min="8984" max="8984" width="2.5703125" style="297" customWidth="1"/>
    <col min="8985" max="8985" width="12.42578125" style="297" customWidth="1"/>
    <col min="8986" max="8986" width="13.5703125" style="297" customWidth="1"/>
    <col min="8987" max="8987" width="2.5703125" style="297" customWidth="1"/>
    <col min="8988" max="8988" width="12.42578125" style="297" customWidth="1"/>
    <col min="8989" max="8989" width="13.5703125" style="297" customWidth="1"/>
    <col min="8990" max="8990" width="2.5703125" style="297" customWidth="1"/>
    <col min="8991" max="8991" width="11.5703125" style="297" customWidth="1"/>
    <col min="8992" max="8992" width="13" style="297" customWidth="1"/>
    <col min="8993" max="8993" width="1.42578125" style="297" customWidth="1"/>
    <col min="8994" max="8994" width="10.5703125" style="297" customWidth="1"/>
    <col min="8995" max="9226" width="11" style="297"/>
    <col min="9227" max="9227" width="1.5703125" style="297" customWidth="1"/>
    <col min="9228" max="9228" width="8.5703125" style="297" customWidth="1"/>
    <col min="9229" max="9229" width="28.7109375" style="297" customWidth="1"/>
    <col min="9230" max="9230" width="26.5703125" style="297" customWidth="1"/>
    <col min="9231" max="9231" width="7.7109375" style="297" customWidth="1"/>
    <col min="9232" max="9232" width="19.42578125" style="297" customWidth="1"/>
    <col min="9233" max="9233" width="44.28515625" style="297" customWidth="1"/>
    <col min="9234" max="9234" width="17" style="297" customWidth="1"/>
    <col min="9235" max="9235" width="15.5703125" style="297" customWidth="1"/>
    <col min="9236" max="9236" width="14.140625" style="297" customWidth="1"/>
    <col min="9237" max="9237" width="1.7109375" style="297" customWidth="1"/>
    <col min="9238" max="9238" width="13.7109375" style="297" customWidth="1"/>
    <col min="9239" max="9239" width="13.85546875" style="297" bestFit="1" customWidth="1"/>
    <col min="9240" max="9240" width="2.5703125" style="297" customWidth="1"/>
    <col min="9241" max="9241" width="12.42578125" style="297" customWidth="1"/>
    <col min="9242" max="9242" width="13.5703125" style="297" customWidth="1"/>
    <col min="9243" max="9243" width="2.5703125" style="297" customWidth="1"/>
    <col min="9244" max="9244" width="12.42578125" style="297" customWidth="1"/>
    <col min="9245" max="9245" width="13.5703125" style="297" customWidth="1"/>
    <col min="9246" max="9246" width="2.5703125" style="297" customWidth="1"/>
    <col min="9247" max="9247" width="11.5703125" style="297" customWidth="1"/>
    <col min="9248" max="9248" width="13" style="297" customWidth="1"/>
    <col min="9249" max="9249" width="1.42578125" style="297" customWidth="1"/>
    <col min="9250" max="9250" width="10.5703125" style="297" customWidth="1"/>
    <col min="9251" max="9482" width="11" style="297"/>
    <col min="9483" max="9483" width="1.5703125" style="297" customWidth="1"/>
    <col min="9484" max="9484" width="8.5703125" style="297" customWidth="1"/>
    <col min="9485" max="9485" width="28.7109375" style="297" customWidth="1"/>
    <col min="9486" max="9486" width="26.5703125" style="297" customWidth="1"/>
    <col min="9487" max="9487" width="7.7109375" style="297" customWidth="1"/>
    <col min="9488" max="9488" width="19.42578125" style="297" customWidth="1"/>
    <col min="9489" max="9489" width="44.28515625" style="297" customWidth="1"/>
    <col min="9490" max="9490" width="17" style="297" customWidth="1"/>
    <col min="9491" max="9491" width="15.5703125" style="297" customWidth="1"/>
    <col min="9492" max="9492" width="14.140625" style="297" customWidth="1"/>
    <col min="9493" max="9493" width="1.7109375" style="297" customWidth="1"/>
    <col min="9494" max="9494" width="13.7109375" style="297" customWidth="1"/>
    <col min="9495" max="9495" width="13.85546875" style="297" bestFit="1" customWidth="1"/>
    <col min="9496" max="9496" width="2.5703125" style="297" customWidth="1"/>
    <col min="9497" max="9497" width="12.42578125" style="297" customWidth="1"/>
    <col min="9498" max="9498" width="13.5703125" style="297" customWidth="1"/>
    <col min="9499" max="9499" width="2.5703125" style="297" customWidth="1"/>
    <col min="9500" max="9500" width="12.42578125" style="297" customWidth="1"/>
    <col min="9501" max="9501" width="13.5703125" style="297" customWidth="1"/>
    <col min="9502" max="9502" width="2.5703125" style="297" customWidth="1"/>
    <col min="9503" max="9503" width="11.5703125" style="297" customWidth="1"/>
    <col min="9504" max="9504" width="13" style="297" customWidth="1"/>
    <col min="9505" max="9505" width="1.42578125" style="297" customWidth="1"/>
    <col min="9506" max="9506" width="10.5703125" style="297" customWidth="1"/>
    <col min="9507" max="9738" width="11" style="297"/>
    <col min="9739" max="9739" width="1.5703125" style="297" customWidth="1"/>
    <col min="9740" max="9740" width="8.5703125" style="297" customWidth="1"/>
    <col min="9741" max="9741" width="28.7109375" style="297" customWidth="1"/>
    <col min="9742" max="9742" width="26.5703125" style="297" customWidth="1"/>
    <col min="9743" max="9743" width="7.7109375" style="297" customWidth="1"/>
    <col min="9744" max="9744" width="19.42578125" style="297" customWidth="1"/>
    <col min="9745" max="9745" width="44.28515625" style="297" customWidth="1"/>
    <col min="9746" max="9746" width="17" style="297" customWidth="1"/>
    <col min="9747" max="9747" width="15.5703125" style="297" customWidth="1"/>
    <col min="9748" max="9748" width="14.140625" style="297" customWidth="1"/>
    <col min="9749" max="9749" width="1.7109375" style="297" customWidth="1"/>
    <col min="9750" max="9750" width="13.7109375" style="297" customWidth="1"/>
    <col min="9751" max="9751" width="13.85546875" style="297" bestFit="1" customWidth="1"/>
    <col min="9752" max="9752" width="2.5703125" style="297" customWidth="1"/>
    <col min="9753" max="9753" width="12.42578125" style="297" customWidth="1"/>
    <col min="9754" max="9754" width="13.5703125" style="297" customWidth="1"/>
    <col min="9755" max="9755" width="2.5703125" style="297" customWidth="1"/>
    <col min="9756" max="9756" width="12.42578125" style="297" customWidth="1"/>
    <col min="9757" max="9757" width="13.5703125" style="297" customWidth="1"/>
    <col min="9758" max="9758" width="2.5703125" style="297" customWidth="1"/>
    <col min="9759" max="9759" width="11.5703125" style="297" customWidth="1"/>
    <col min="9760" max="9760" width="13" style="297" customWidth="1"/>
    <col min="9761" max="9761" width="1.42578125" style="297" customWidth="1"/>
    <col min="9762" max="9762" width="10.5703125" style="297" customWidth="1"/>
    <col min="9763" max="9994" width="11" style="297"/>
    <col min="9995" max="9995" width="1.5703125" style="297" customWidth="1"/>
    <col min="9996" max="9996" width="8.5703125" style="297" customWidth="1"/>
    <col min="9997" max="9997" width="28.7109375" style="297" customWidth="1"/>
    <col min="9998" max="9998" width="26.5703125" style="297" customWidth="1"/>
    <col min="9999" max="9999" width="7.7109375" style="297" customWidth="1"/>
    <col min="10000" max="10000" width="19.42578125" style="297" customWidth="1"/>
    <col min="10001" max="10001" width="44.28515625" style="297" customWidth="1"/>
    <col min="10002" max="10002" width="17" style="297" customWidth="1"/>
    <col min="10003" max="10003" width="15.5703125" style="297" customWidth="1"/>
    <col min="10004" max="10004" width="14.140625" style="297" customWidth="1"/>
    <col min="10005" max="10005" width="1.7109375" style="297" customWidth="1"/>
    <col min="10006" max="10006" width="13.7109375" style="297" customWidth="1"/>
    <col min="10007" max="10007" width="13.85546875" style="297" bestFit="1" customWidth="1"/>
    <col min="10008" max="10008" width="2.5703125" style="297" customWidth="1"/>
    <col min="10009" max="10009" width="12.42578125" style="297" customWidth="1"/>
    <col min="10010" max="10010" width="13.5703125" style="297" customWidth="1"/>
    <col min="10011" max="10011" width="2.5703125" style="297" customWidth="1"/>
    <col min="10012" max="10012" width="12.42578125" style="297" customWidth="1"/>
    <col min="10013" max="10013" width="13.5703125" style="297" customWidth="1"/>
    <col min="10014" max="10014" width="2.5703125" style="297" customWidth="1"/>
    <col min="10015" max="10015" width="11.5703125" style="297" customWidth="1"/>
    <col min="10016" max="10016" width="13" style="297" customWidth="1"/>
    <col min="10017" max="10017" width="1.42578125" style="297" customWidth="1"/>
    <col min="10018" max="10018" width="10.5703125" style="297" customWidth="1"/>
    <col min="10019" max="10250" width="11" style="297"/>
    <col min="10251" max="10251" width="1.5703125" style="297" customWidth="1"/>
    <col min="10252" max="10252" width="8.5703125" style="297" customWidth="1"/>
    <col min="10253" max="10253" width="28.7109375" style="297" customWidth="1"/>
    <col min="10254" max="10254" width="26.5703125" style="297" customWidth="1"/>
    <col min="10255" max="10255" width="7.7109375" style="297" customWidth="1"/>
    <col min="10256" max="10256" width="19.42578125" style="297" customWidth="1"/>
    <col min="10257" max="10257" width="44.28515625" style="297" customWidth="1"/>
    <col min="10258" max="10258" width="17" style="297" customWidth="1"/>
    <col min="10259" max="10259" width="15.5703125" style="297" customWidth="1"/>
    <col min="10260" max="10260" width="14.140625" style="297" customWidth="1"/>
    <col min="10261" max="10261" width="1.7109375" style="297" customWidth="1"/>
    <col min="10262" max="10262" width="13.7109375" style="297" customWidth="1"/>
    <col min="10263" max="10263" width="13.85546875" style="297" bestFit="1" customWidth="1"/>
    <col min="10264" max="10264" width="2.5703125" style="297" customWidth="1"/>
    <col min="10265" max="10265" width="12.42578125" style="297" customWidth="1"/>
    <col min="10266" max="10266" width="13.5703125" style="297" customWidth="1"/>
    <col min="10267" max="10267" width="2.5703125" style="297" customWidth="1"/>
    <col min="10268" max="10268" width="12.42578125" style="297" customWidth="1"/>
    <col min="10269" max="10269" width="13.5703125" style="297" customWidth="1"/>
    <col min="10270" max="10270" width="2.5703125" style="297" customWidth="1"/>
    <col min="10271" max="10271" width="11.5703125" style="297" customWidth="1"/>
    <col min="10272" max="10272" width="13" style="297" customWidth="1"/>
    <col min="10273" max="10273" width="1.42578125" style="297" customWidth="1"/>
    <col min="10274" max="10274" width="10.5703125" style="297" customWidth="1"/>
    <col min="10275" max="10506" width="11" style="297"/>
    <col min="10507" max="10507" width="1.5703125" style="297" customWidth="1"/>
    <col min="10508" max="10508" width="8.5703125" style="297" customWidth="1"/>
    <col min="10509" max="10509" width="28.7109375" style="297" customWidth="1"/>
    <col min="10510" max="10510" width="26.5703125" style="297" customWidth="1"/>
    <col min="10511" max="10511" width="7.7109375" style="297" customWidth="1"/>
    <col min="10512" max="10512" width="19.42578125" style="297" customWidth="1"/>
    <col min="10513" max="10513" width="44.28515625" style="297" customWidth="1"/>
    <col min="10514" max="10514" width="17" style="297" customWidth="1"/>
    <col min="10515" max="10515" width="15.5703125" style="297" customWidth="1"/>
    <col min="10516" max="10516" width="14.140625" style="297" customWidth="1"/>
    <col min="10517" max="10517" width="1.7109375" style="297" customWidth="1"/>
    <col min="10518" max="10518" width="13.7109375" style="297" customWidth="1"/>
    <col min="10519" max="10519" width="13.85546875" style="297" bestFit="1" customWidth="1"/>
    <col min="10520" max="10520" width="2.5703125" style="297" customWidth="1"/>
    <col min="10521" max="10521" width="12.42578125" style="297" customWidth="1"/>
    <col min="10522" max="10522" width="13.5703125" style="297" customWidth="1"/>
    <col min="10523" max="10523" width="2.5703125" style="297" customWidth="1"/>
    <col min="10524" max="10524" width="12.42578125" style="297" customWidth="1"/>
    <col min="10525" max="10525" width="13.5703125" style="297" customWidth="1"/>
    <col min="10526" max="10526" width="2.5703125" style="297" customWidth="1"/>
    <col min="10527" max="10527" width="11.5703125" style="297" customWidth="1"/>
    <col min="10528" max="10528" width="13" style="297" customWidth="1"/>
    <col min="10529" max="10529" width="1.42578125" style="297" customWidth="1"/>
    <col min="10530" max="10530" width="10.5703125" style="297" customWidth="1"/>
    <col min="10531" max="10762" width="11" style="297"/>
    <col min="10763" max="10763" width="1.5703125" style="297" customWidth="1"/>
    <col min="10764" max="10764" width="8.5703125" style="297" customWidth="1"/>
    <col min="10765" max="10765" width="28.7109375" style="297" customWidth="1"/>
    <col min="10766" max="10766" width="26.5703125" style="297" customWidth="1"/>
    <col min="10767" max="10767" width="7.7109375" style="297" customWidth="1"/>
    <col min="10768" max="10768" width="19.42578125" style="297" customWidth="1"/>
    <col min="10769" max="10769" width="44.28515625" style="297" customWidth="1"/>
    <col min="10770" max="10770" width="17" style="297" customWidth="1"/>
    <col min="10771" max="10771" width="15.5703125" style="297" customWidth="1"/>
    <col min="10772" max="10772" width="14.140625" style="297" customWidth="1"/>
    <col min="10773" max="10773" width="1.7109375" style="297" customWidth="1"/>
    <col min="10774" max="10774" width="13.7109375" style="297" customWidth="1"/>
    <col min="10775" max="10775" width="13.85546875" style="297" bestFit="1" customWidth="1"/>
    <col min="10776" max="10776" width="2.5703125" style="297" customWidth="1"/>
    <col min="10777" max="10777" width="12.42578125" style="297" customWidth="1"/>
    <col min="10778" max="10778" width="13.5703125" style="297" customWidth="1"/>
    <col min="10779" max="10779" width="2.5703125" style="297" customWidth="1"/>
    <col min="10780" max="10780" width="12.42578125" style="297" customWidth="1"/>
    <col min="10781" max="10781" width="13.5703125" style="297" customWidth="1"/>
    <col min="10782" max="10782" width="2.5703125" style="297" customWidth="1"/>
    <col min="10783" max="10783" width="11.5703125" style="297" customWidth="1"/>
    <col min="10784" max="10784" width="13" style="297" customWidth="1"/>
    <col min="10785" max="10785" width="1.42578125" style="297" customWidth="1"/>
    <col min="10786" max="10786" width="10.5703125" style="297" customWidth="1"/>
    <col min="10787" max="11018" width="11" style="297"/>
    <col min="11019" max="11019" width="1.5703125" style="297" customWidth="1"/>
    <col min="11020" max="11020" width="8.5703125" style="297" customWidth="1"/>
    <col min="11021" max="11021" width="28.7109375" style="297" customWidth="1"/>
    <col min="11022" max="11022" width="26.5703125" style="297" customWidth="1"/>
    <col min="11023" max="11023" width="7.7109375" style="297" customWidth="1"/>
    <col min="11024" max="11024" width="19.42578125" style="297" customWidth="1"/>
    <col min="11025" max="11025" width="44.28515625" style="297" customWidth="1"/>
    <col min="11026" max="11026" width="17" style="297" customWidth="1"/>
    <col min="11027" max="11027" width="15.5703125" style="297" customWidth="1"/>
    <col min="11028" max="11028" width="14.140625" style="297" customWidth="1"/>
    <col min="11029" max="11029" width="1.7109375" style="297" customWidth="1"/>
    <col min="11030" max="11030" width="13.7109375" style="297" customWidth="1"/>
    <col min="11031" max="11031" width="13.85546875" style="297" bestFit="1" customWidth="1"/>
    <col min="11032" max="11032" width="2.5703125" style="297" customWidth="1"/>
    <col min="11033" max="11033" width="12.42578125" style="297" customWidth="1"/>
    <col min="11034" max="11034" width="13.5703125" style="297" customWidth="1"/>
    <col min="11035" max="11035" width="2.5703125" style="297" customWidth="1"/>
    <col min="11036" max="11036" width="12.42578125" style="297" customWidth="1"/>
    <col min="11037" max="11037" width="13.5703125" style="297" customWidth="1"/>
    <col min="11038" max="11038" width="2.5703125" style="297" customWidth="1"/>
    <col min="11039" max="11039" width="11.5703125" style="297" customWidth="1"/>
    <col min="11040" max="11040" width="13" style="297" customWidth="1"/>
    <col min="11041" max="11041" width="1.42578125" style="297" customWidth="1"/>
    <col min="11042" max="11042" width="10.5703125" style="297" customWidth="1"/>
    <col min="11043" max="11274" width="11" style="297"/>
    <col min="11275" max="11275" width="1.5703125" style="297" customWidth="1"/>
    <col min="11276" max="11276" width="8.5703125" style="297" customWidth="1"/>
    <col min="11277" max="11277" width="28.7109375" style="297" customWidth="1"/>
    <col min="11278" max="11278" width="26.5703125" style="297" customWidth="1"/>
    <col min="11279" max="11279" width="7.7109375" style="297" customWidth="1"/>
    <col min="11280" max="11280" width="19.42578125" style="297" customWidth="1"/>
    <col min="11281" max="11281" width="44.28515625" style="297" customWidth="1"/>
    <col min="11282" max="11282" width="17" style="297" customWidth="1"/>
    <col min="11283" max="11283" width="15.5703125" style="297" customWidth="1"/>
    <col min="11284" max="11284" width="14.140625" style="297" customWidth="1"/>
    <col min="11285" max="11285" width="1.7109375" style="297" customWidth="1"/>
    <col min="11286" max="11286" width="13.7109375" style="297" customWidth="1"/>
    <col min="11287" max="11287" width="13.85546875" style="297" bestFit="1" customWidth="1"/>
    <col min="11288" max="11288" width="2.5703125" style="297" customWidth="1"/>
    <col min="11289" max="11289" width="12.42578125" style="297" customWidth="1"/>
    <col min="11290" max="11290" width="13.5703125" style="297" customWidth="1"/>
    <col min="11291" max="11291" width="2.5703125" style="297" customWidth="1"/>
    <col min="11292" max="11292" width="12.42578125" style="297" customWidth="1"/>
    <col min="11293" max="11293" width="13.5703125" style="297" customWidth="1"/>
    <col min="11294" max="11294" width="2.5703125" style="297" customWidth="1"/>
    <col min="11295" max="11295" width="11.5703125" style="297" customWidth="1"/>
    <col min="11296" max="11296" width="13" style="297" customWidth="1"/>
    <col min="11297" max="11297" width="1.42578125" style="297" customWidth="1"/>
    <col min="11298" max="11298" width="10.5703125" style="297" customWidth="1"/>
    <col min="11299" max="11530" width="11" style="297"/>
    <col min="11531" max="11531" width="1.5703125" style="297" customWidth="1"/>
    <col min="11532" max="11532" width="8.5703125" style="297" customWidth="1"/>
    <col min="11533" max="11533" width="28.7109375" style="297" customWidth="1"/>
    <col min="11534" max="11534" width="26.5703125" style="297" customWidth="1"/>
    <col min="11535" max="11535" width="7.7109375" style="297" customWidth="1"/>
    <col min="11536" max="11536" width="19.42578125" style="297" customWidth="1"/>
    <col min="11537" max="11537" width="44.28515625" style="297" customWidth="1"/>
    <col min="11538" max="11538" width="17" style="297" customWidth="1"/>
    <col min="11539" max="11539" width="15.5703125" style="297" customWidth="1"/>
    <col min="11540" max="11540" width="14.140625" style="297" customWidth="1"/>
    <col min="11541" max="11541" width="1.7109375" style="297" customWidth="1"/>
    <col min="11542" max="11542" width="13.7109375" style="297" customWidth="1"/>
    <col min="11543" max="11543" width="13.85546875" style="297" bestFit="1" customWidth="1"/>
    <col min="11544" max="11544" width="2.5703125" style="297" customWidth="1"/>
    <col min="11545" max="11545" width="12.42578125" style="297" customWidth="1"/>
    <col min="11546" max="11546" width="13.5703125" style="297" customWidth="1"/>
    <col min="11547" max="11547" width="2.5703125" style="297" customWidth="1"/>
    <col min="11548" max="11548" width="12.42578125" style="297" customWidth="1"/>
    <col min="11549" max="11549" width="13.5703125" style="297" customWidth="1"/>
    <col min="11550" max="11550" width="2.5703125" style="297" customWidth="1"/>
    <col min="11551" max="11551" width="11.5703125" style="297" customWidth="1"/>
    <col min="11552" max="11552" width="13" style="297" customWidth="1"/>
    <col min="11553" max="11553" width="1.42578125" style="297" customWidth="1"/>
    <col min="11554" max="11554" width="10.5703125" style="297" customWidth="1"/>
    <col min="11555" max="11786" width="11" style="297"/>
    <col min="11787" max="11787" width="1.5703125" style="297" customWidth="1"/>
    <col min="11788" max="11788" width="8.5703125" style="297" customWidth="1"/>
    <col min="11789" max="11789" width="28.7109375" style="297" customWidth="1"/>
    <col min="11790" max="11790" width="26.5703125" style="297" customWidth="1"/>
    <col min="11791" max="11791" width="7.7109375" style="297" customWidth="1"/>
    <col min="11792" max="11792" width="19.42578125" style="297" customWidth="1"/>
    <col min="11793" max="11793" width="44.28515625" style="297" customWidth="1"/>
    <col min="11794" max="11794" width="17" style="297" customWidth="1"/>
    <col min="11795" max="11795" width="15.5703125" style="297" customWidth="1"/>
    <col min="11796" max="11796" width="14.140625" style="297" customWidth="1"/>
    <col min="11797" max="11797" width="1.7109375" style="297" customWidth="1"/>
    <col min="11798" max="11798" width="13.7109375" style="297" customWidth="1"/>
    <col min="11799" max="11799" width="13.85546875" style="297" bestFit="1" customWidth="1"/>
    <col min="11800" max="11800" width="2.5703125" style="297" customWidth="1"/>
    <col min="11801" max="11801" width="12.42578125" style="297" customWidth="1"/>
    <col min="11802" max="11802" width="13.5703125" style="297" customWidth="1"/>
    <col min="11803" max="11803" width="2.5703125" style="297" customWidth="1"/>
    <col min="11804" max="11804" width="12.42578125" style="297" customWidth="1"/>
    <col min="11805" max="11805" width="13.5703125" style="297" customWidth="1"/>
    <col min="11806" max="11806" width="2.5703125" style="297" customWidth="1"/>
    <col min="11807" max="11807" width="11.5703125" style="297" customWidth="1"/>
    <col min="11808" max="11808" width="13" style="297" customWidth="1"/>
    <col min="11809" max="11809" width="1.42578125" style="297" customWidth="1"/>
    <col min="11810" max="11810" width="10.5703125" style="297" customWidth="1"/>
    <col min="11811" max="12042" width="11" style="297"/>
    <col min="12043" max="12043" width="1.5703125" style="297" customWidth="1"/>
    <col min="12044" max="12044" width="8.5703125" style="297" customWidth="1"/>
    <col min="12045" max="12045" width="28.7109375" style="297" customWidth="1"/>
    <col min="12046" max="12046" width="26.5703125" style="297" customWidth="1"/>
    <col min="12047" max="12047" width="7.7109375" style="297" customWidth="1"/>
    <col min="12048" max="12048" width="19.42578125" style="297" customWidth="1"/>
    <col min="12049" max="12049" width="44.28515625" style="297" customWidth="1"/>
    <col min="12050" max="12050" width="17" style="297" customWidth="1"/>
    <col min="12051" max="12051" width="15.5703125" style="297" customWidth="1"/>
    <col min="12052" max="12052" width="14.140625" style="297" customWidth="1"/>
    <col min="12053" max="12053" width="1.7109375" style="297" customWidth="1"/>
    <col min="12054" max="12054" width="13.7109375" style="297" customWidth="1"/>
    <col min="12055" max="12055" width="13.85546875" style="297" bestFit="1" customWidth="1"/>
    <col min="12056" max="12056" width="2.5703125" style="297" customWidth="1"/>
    <col min="12057" max="12057" width="12.42578125" style="297" customWidth="1"/>
    <col min="12058" max="12058" width="13.5703125" style="297" customWidth="1"/>
    <col min="12059" max="12059" width="2.5703125" style="297" customWidth="1"/>
    <col min="12060" max="12060" width="12.42578125" style="297" customWidth="1"/>
    <col min="12061" max="12061" width="13.5703125" style="297" customWidth="1"/>
    <col min="12062" max="12062" width="2.5703125" style="297" customWidth="1"/>
    <col min="12063" max="12063" width="11.5703125" style="297" customWidth="1"/>
    <col min="12064" max="12064" width="13" style="297" customWidth="1"/>
    <col min="12065" max="12065" width="1.42578125" style="297" customWidth="1"/>
    <col min="12066" max="12066" width="10.5703125" style="297" customWidth="1"/>
    <col min="12067" max="12298" width="11" style="297"/>
    <col min="12299" max="12299" width="1.5703125" style="297" customWidth="1"/>
    <col min="12300" max="12300" width="8.5703125" style="297" customWidth="1"/>
    <col min="12301" max="12301" width="28.7109375" style="297" customWidth="1"/>
    <col min="12302" max="12302" width="26.5703125" style="297" customWidth="1"/>
    <col min="12303" max="12303" width="7.7109375" style="297" customWidth="1"/>
    <col min="12304" max="12304" width="19.42578125" style="297" customWidth="1"/>
    <col min="12305" max="12305" width="44.28515625" style="297" customWidth="1"/>
    <col min="12306" max="12306" width="17" style="297" customWidth="1"/>
    <col min="12307" max="12307" width="15.5703125" style="297" customWidth="1"/>
    <col min="12308" max="12308" width="14.140625" style="297" customWidth="1"/>
    <col min="12309" max="12309" width="1.7109375" style="297" customWidth="1"/>
    <col min="12310" max="12310" width="13.7109375" style="297" customWidth="1"/>
    <col min="12311" max="12311" width="13.85546875" style="297" bestFit="1" customWidth="1"/>
    <col min="12312" max="12312" width="2.5703125" style="297" customWidth="1"/>
    <col min="12313" max="12313" width="12.42578125" style="297" customWidth="1"/>
    <col min="12314" max="12314" width="13.5703125" style="297" customWidth="1"/>
    <col min="12315" max="12315" width="2.5703125" style="297" customWidth="1"/>
    <col min="12316" max="12316" width="12.42578125" style="297" customWidth="1"/>
    <col min="12317" max="12317" width="13.5703125" style="297" customWidth="1"/>
    <col min="12318" max="12318" width="2.5703125" style="297" customWidth="1"/>
    <col min="12319" max="12319" width="11.5703125" style="297" customWidth="1"/>
    <col min="12320" max="12320" width="13" style="297" customWidth="1"/>
    <col min="12321" max="12321" width="1.42578125" style="297" customWidth="1"/>
    <col min="12322" max="12322" width="10.5703125" style="297" customWidth="1"/>
    <col min="12323" max="12554" width="11" style="297"/>
    <col min="12555" max="12555" width="1.5703125" style="297" customWidth="1"/>
    <col min="12556" max="12556" width="8.5703125" style="297" customWidth="1"/>
    <col min="12557" max="12557" width="28.7109375" style="297" customWidth="1"/>
    <col min="12558" max="12558" width="26.5703125" style="297" customWidth="1"/>
    <col min="12559" max="12559" width="7.7109375" style="297" customWidth="1"/>
    <col min="12560" max="12560" width="19.42578125" style="297" customWidth="1"/>
    <col min="12561" max="12561" width="44.28515625" style="297" customWidth="1"/>
    <col min="12562" max="12562" width="17" style="297" customWidth="1"/>
    <col min="12563" max="12563" width="15.5703125" style="297" customWidth="1"/>
    <col min="12564" max="12564" width="14.140625" style="297" customWidth="1"/>
    <col min="12565" max="12565" width="1.7109375" style="297" customWidth="1"/>
    <col min="12566" max="12566" width="13.7109375" style="297" customWidth="1"/>
    <col min="12567" max="12567" width="13.85546875" style="297" bestFit="1" customWidth="1"/>
    <col min="12568" max="12568" width="2.5703125" style="297" customWidth="1"/>
    <col min="12569" max="12569" width="12.42578125" style="297" customWidth="1"/>
    <col min="12570" max="12570" width="13.5703125" style="297" customWidth="1"/>
    <col min="12571" max="12571" width="2.5703125" style="297" customWidth="1"/>
    <col min="12572" max="12572" width="12.42578125" style="297" customWidth="1"/>
    <col min="12573" max="12573" width="13.5703125" style="297" customWidth="1"/>
    <col min="12574" max="12574" width="2.5703125" style="297" customWidth="1"/>
    <col min="12575" max="12575" width="11.5703125" style="297" customWidth="1"/>
    <col min="12576" max="12576" width="13" style="297" customWidth="1"/>
    <col min="12577" max="12577" width="1.42578125" style="297" customWidth="1"/>
    <col min="12578" max="12578" width="10.5703125" style="297" customWidth="1"/>
    <col min="12579" max="12810" width="11" style="297"/>
    <col min="12811" max="12811" width="1.5703125" style="297" customWidth="1"/>
    <col min="12812" max="12812" width="8.5703125" style="297" customWidth="1"/>
    <col min="12813" max="12813" width="28.7109375" style="297" customWidth="1"/>
    <col min="12814" max="12814" width="26.5703125" style="297" customWidth="1"/>
    <col min="12815" max="12815" width="7.7109375" style="297" customWidth="1"/>
    <col min="12816" max="12816" width="19.42578125" style="297" customWidth="1"/>
    <col min="12817" max="12817" width="44.28515625" style="297" customWidth="1"/>
    <col min="12818" max="12818" width="17" style="297" customWidth="1"/>
    <col min="12819" max="12819" width="15.5703125" style="297" customWidth="1"/>
    <col min="12820" max="12820" width="14.140625" style="297" customWidth="1"/>
    <col min="12821" max="12821" width="1.7109375" style="297" customWidth="1"/>
    <col min="12822" max="12822" width="13.7109375" style="297" customWidth="1"/>
    <col min="12823" max="12823" width="13.85546875" style="297" bestFit="1" customWidth="1"/>
    <col min="12824" max="12824" width="2.5703125" style="297" customWidth="1"/>
    <col min="12825" max="12825" width="12.42578125" style="297" customWidth="1"/>
    <col min="12826" max="12826" width="13.5703125" style="297" customWidth="1"/>
    <col min="12827" max="12827" width="2.5703125" style="297" customWidth="1"/>
    <col min="12828" max="12828" width="12.42578125" style="297" customWidth="1"/>
    <col min="12829" max="12829" width="13.5703125" style="297" customWidth="1"/>
    <col min="12830" max="12830" width="2.5703125" style="297" customWidth="1"/>
    <col min="12831" max="12831" width="11.5703125" style="297" customWidth="1"/>
    <col min="12832" max="12832" width="13" style="297" customWidth="1"/>
    <col min="12833" max="12833" width="1.42578125" style="297" customWidth="1"/>
    <col min="12834" max="12834" width="10.5703125" style="297" customWidth="1"/>
    <col min="12835" max="13066" width="11" style="297"/>
    <col min="13067" max="13067" width="1.5703125" style="297" customWidth="1"/>
    <col min="13068" max="13068" width="8.5703125" style="297" customWidth="1"/>
    <col min="13069" max="13069" width="28.7109375" style="297" customWidth="1"/>
    <col min="13070" max="13070" width="26.5703125" style="297" customWidth="1"/>
    <col min="13071" max="13071" width="7.7109375" style="297" customWidth="1"/>
    <col min="13072" max="13072" width="19.42578125" style="297" customWidth="1"/>
    <col min="13073" max="13073" width="44.28515625" style="297" customWidth="1"/>
    <col min="13074" max="13074" width="17" style="297" customWidth="1"/>
    <col min="13075" max="13075" width="15.5703125" style="297" customWidth="1"/>
    <col min="13076" max="13076" width="14.140625" style="297" customWidth="1"/>
    <col min="13077" max="13077" width="1.7109375" style="297" customWidth="1"/>
    <col min="13078" max="13078" width="13.7109375" style="297" customWidth="1"/>
    <col min="13079" max="13079" width="13.85546875" style="297" bestFit="1" customWidth="1"/>
    <col min="13080" max="13080" width="2.5703125" style="297" customWidth="1"/>
    <col min="13081" max="13081" width="12.42578125" style="297" customWidth="1"/>
    <col min="13082" max="13082" width="13.5703125" style="297" customWidth="1"/>
    <col min="13083" max="13083" width="2.5703125" style="297" customWidth="1"/>
    <col min="13084" max="13084" width="12.42578125" style="297" customWidth="1"/>
    <col min="13085" max="13085" width="13.5703125" style="297" customWidth="1"/>
    <col min="13086" max="13086" width="2.5703125" style="297" customWidth="1"/>
    <col min="13087" max="13087" width="11.5703125" style="297" customWidth="1"/>
    <col min="13088" max="13088" width="13" style="297" customWidth="1"/>
    <col min="13089" max="13089" width="1.42578125" style="297" customWidth="1"/>
    <col min="13090" max="13090" width="10.5703125" style="297" customWidth="1"/>
    <col min="13091" max="13322" width="11" style="297"/>
    <col min="13323" max="13323" width="1.5703125" style="297" customWidth="1"/>
    <col min="13324" max="13324" width="8.5703125" style="297" customWidth="1"/>
    <col min="13325" max="13325" width="28.7109375" style="297" customWidth="1"/>
    <col min="13326" max="13326" width="26.5703125" style="297" customWidth="1"/>
    <col min="13327" max="13327" width="7.7109375" style="297" customWidth="1"/>
    <col min="13328" max="13328" width="19.42578125" style="297" customWidth="1"/>
    <col min="13329" max="13329" width="44.28515625" style="297" customWidth="1"/>
    <col min="13330" max="13330" width="17" style="297" customWidth="1"/>
    <col min="13331" max="13331" width="15.5703125" style="297" customWidth="1"/>
    <col min="13332" max="13332" width="14.140625" style="297" customWidth="1"/>
    <col min="13333" max="13333" width="1.7109375" style="297" customWidth="1"/>
    <col min="13334" max="13334" width="13.7109375" style="297" customWidth="1"/>
    <col min="13335" max="13335" width="13.85546875" style="297" bestFit="1" customWidth="1"/>
    <col min="13336" max="13336" width="2.5703125" style="297" customWidth="1"/>
    <col min="13337" max="13337" width="12.42578125" style="297" customWidth="1"/>
    <col min="13338" max="13338" width="13.5703125" style="297" customWidth="1"/>
    <col min="13339" max="13339" width="2.5703125" style="297" customWidth="1"/>
    <col min="13340" max="13340" width="12.42578125" style="297" customWidth="1"/>
    <col min="13341" max="13341" width="13.5703125" style="297" customWidth="1"/>
    <col min="13342" max="13342" width="2.5703125" style="297" customWidth="1"/>
    <col min="13343" max="13343" width="11.5703125" style="297" customWidth="1"/>
    <col min="13344" max="13344" width="13" style="297" customWidth="1"/>
    <col min="13345" max="13345" width="1.42578125" style="297" customWidth="1"/>
    <col min="13346" max="13346" width="10.5703125" style="297" customWidth="1"/>
    <col min="13347" max="13578" width="11" style="297"/>
    <col min="13579" max="13579" width="1.5703125" style="297" customWidth="1"/>
    <col min="13580" max="13580" width="8.5703125" style="297" customWidth="1"/>
    <col min="13581" max="13581" width="28.7109375" style="297" customWidth="1"/>
    <col min="13582" max="13582" width="26.5703125" style="297" customWidth="1"/>
    <col min="13583" max="13583" width="7.7109375" style="297" customWidth="1"/>
    <col min="13584" max="13584" width="19.42578125" style="297" customWidth="1"/>
    <col min="13585" max="13585" width="44.28515625" style="297" customWidth="1"/>
    <col min="13586" max="13586" width="17" style="297" customWidth="1"/>
    <col min="13587" max="13587" width="15.5703125" style="297" customWidth="1"/>
    <col min="13588" max="13588" width="14.140625" style="297" customWidth="1"/>
    <col min="13589" max="13589" width="1.7109375" style="297" customWidth="1"/>
    <col min="13590" max="13590" width="13.7109375" style="297" customWidth="1"/>
    <col min="13591" max="13591" width="13.85546875" style="297" bestFit="1" customWidth="1"/>
    <col min="13592" max="13592" width="2.5703125" style="297" customWidth="1"/>
    <col min="13593" max="13593" width="12.42578125" style="297" customWidth="1"/>
    <col min="13594" max="13594" width="13.5703125" style="297" customWidth="1"/>
    <col min="13595" max="13595" width="2.5703125" style="297" customWidth="1"/>
    <col min="13596" max="13596" width="12.42578125" style="297" customWidth="1"/>
    <col min="13597" max="13597" width="13.5703125" style="297" customWidth="1"/>
    <col min="13598" max="13598" width="2.5703125" style="297" customWidth="1"/>
    <col min="13599" max="13599" width="11.5703125" style="297" customWidth="1"/>
    <col min="13600" max="13600" width="13" style="297" customWidth="1"/>
    <col min="13601" max="13601" width="1.42578125" style="297" customWidth="1"/>
    <col min="13602" max="13602" width="10.5703125" style="297" customWidth="1"/>
    <col min="13603" max="13834" width="11" style="297"/>
    <col min="13835" max="13835" width="1.5703125" style="297" customWidth="1"/>
    <col min="13836" max="13836" width="8.5703125" style="297" customWidth="1"/>
    <col min="13837" max="13837" width="28.7109375" style="297" customWidth="1"/>
    <col min="13838" max="13838" width="26.5703125" style="297" customWidth="1"/>
    <col min="13839" max="13839" width="7.7109375" style="297" customWidth="1"/>
    <col min="13840" max="13840" width="19.42578125" style="297" customWidth="1"/>
    <col min="13841" max="13841" width="44.28515625" style="297" customWidth="1"/>
    <col min="13842" max="13842" width="17" style="297" customWidth="1"/>
    <col min="13843" max="13843" width="15.5703125" style="297" customWidth="1"/>
    <col min="13844" max="13844" width="14.140625" style="297" customWidth="1"/>
    <col min="13845" max="13845" width="1.7109375" style="297" customWidth="1"/>
    <col min="13846" max="13846" width="13.7109375" style="297" customWidth="1"/>
    <col min="13847" max="13847" width="13.85546875" style="297" bestFit="1" customWidth="1"/>
    <col min="13848" max="13848" width="2.5703125" style="297" customWidth="1"/>
    <col min="13849" max="13849" width="12.42578125" style="297" customWidth="1"/>
    <col min="13850" max="13850" width="13.5703125" style="297" customWidth="1"/>
    <col min="13851" max="13851" width="2.5703125" style="297" customWidth="1"/>
    <col min="13852" max="13852" width="12.42578125" style="297" customWidth="1"/>
    <col min="13853" max="13853" width="13.5703125" style="297" customWidth="1"/>
    <col min="13854" max="13854" width="2.5703125" style="297" customWidth="1"/>
    <col min="13855" max="13855" width="11.5703125" style="297" customWidth="1"/>
    <col min="13856" max="13856" width="13" style="297" customWidth="1"/>
    <col min="13857" max="13857" width="1.42578125" style="297" customWidth="1"/>
    <col min="13858" max="13858" width="10.5703125" style="297" customWidth="1"/>
    <col min="13859" max="14090" width="11" style="297"/>
    <col min="14091" max="14091" width="1.5703125" style="297" customWidth="1"/>
    <col min="14092" max="14092" width="8.5703125" style="297" customWidth="1"/>
    <col min="14093" max="14093" width="28.7109375" style="297" customWidth="1"/>
    <col min="14094" max="14094" width="26.5703125" style="297" customWidth="1"/>
    <col min="14095" max="14095" width="7.7109375" style="297" customWidth="1"/>
    <col min="14096" max="14096" width="19.42578125" style="297" customWidth="1"/>
    <col min="14097" max="14097" width="44.28515625" style="297" customWidth="1"/>
    <col min="14098" max="14098" width="17" style="297" customWidth="1"/>
    <col min="14099" max="14099" width="15.5703125" style="297" customWidth="1"/>
    <col min="14100" max="14100" width="14.140625" style="297" customWidth="1"/>
    <col min="14101" max="14101" width="1.7109375" style="297" customWidth="1"/>
    <col min="14102" max="14102" width="13.7109375" style="297" customWidth="1"/>
    <col min="14103" max="14103" width="13.85546875" style="297" bestFit="1" customWidth="1"/>
    <col min="14104" max="14104" width="2.5703125" style="297" customWidth="1"/>
    <col min="14105" max="14105" width="12.42578125" style="297" customWidth="1"/>
    <col min="14106" max="14106" width="13.5703125" style="297" customWidth="1"/>
    <col min="14107" max="14107" width="2.5703125" style="297" customWidth="1"/>
    <col min="14108" max="14108" width="12.42578125" style="297" customWidth="1"/>
    <col min="14109" max="14109" width="13.5703125" style="297" customWidth="1"/>
    <col min="14110" max="14110" width="2.5703125" style="297" customWidth="1"/>
    <col min="14111" max="14111" width="11.5703125" style="297" customWidth="1"/>
    <col min="14112" max="14112" width="13" style="297" customWidth="1"/>
    <col min="14113" max="14113" width="1.42578125" style="297" customWidth="1"/>
    <col min="14114" max="14114" width="10.5703125" style="297" customWidth="1"/>
    <col min="14115" max="14346" width="11" style="297"/>
    <col min="14347" max="14347" width="1.5703125" style="297" customWidth="1"/>
    <col min="14348" max="14348" width="8.5703125" style="297" customWidth="1"/>
    <col min="14349" max="14349" width="28.7109375" style="297" customWidth="1"/>
    <col min="14350" max="14350" width="26.5703125" style="297" customWidth="1"/>
    <col min="14351" max="14351" width="7.7109375" style="297" customWidth="1"/>
    <col min="14352" max="14352" width="19.42578125" style="297" customWidth="1"/>
    <col min="14353" max="14353" width="44.28515625" style="297" customWidth="1"/>
    <col min="14354" max="14354" width="17" style="297" customWidth="1"/>
    <col min="14355" max="14355" width="15.5703125" style="297" customWidth="1"/>
    <col min="14356" max="14356" width="14.140625" style="297" customWidth="1"/>
    <col min="14357" max="14357" width="1.7109375" style="297" customWidth="1"/>
    <col min="14358" max="14358" width="13.7109375" style="297" customWidth="1"/>
    <col min="14359" max="14359" width="13.85546875" style="297" bestFit="1" customWidth="1"/>
    <col min="14360" max="14360" width="2.5703125" style="297" customWidth="1"/>
    <col min="14361" max="14361" width="12.42578125" style="297" customWidth="1"/>
    <col min="14362" max="14362" width="13.5703125" style="297" customWidth="1"/>
    <col min="14363" max="14363" width="2.5703125" style="297" customWidth="1"/>
    <col min="14364" max="14364" width="12.42578125" style="297" customWidth="1"/>
    <col min="14365" max="14365" width="13.5703125" style="297" customWidth="1"/>
    <col min="14366" max="14366" width="2.5703125" style="297" customWidth="1"/>
    <col min="14367" max="14367" width="11.5703125" style="297" customWidth="1"/>
    <col min="14368" max="14368" width="13" style="297" customWidth="1"/>
    <col min="14369" max="14369" width="1.42578125" style="297" customWidth="1"/>
    <col min="14370" max="14370" width="10.5703125" style="297" customWidth="1"/>
    <col min="14371" max="14602" width="11" style="297"/>
    <col min="14603" max="14603" width="1.5703125" style="297" customWidth="1"/>
    <col min="14604" max="14604" width="8.5703125" style="297" customWidth="1"/>
    <col min="14605" max="14605" width="28.7109375" style="297" customWidth="1"/>
    <col min="14606" max="14606" width="26.5703125" style="297" customWidth="1"/>
    <col min="14607" max="14607" width="7.7109375" style="297" customWidth="1"/>
    <col min="14608" max="14608" width="19.42578125" style="297" customWidth="1"/>
    <col min="14609" max="14609" width="44.28515625" style="297" customWidth="1"/>
    <col min="14610" max="14610" width="17" style="297" customWidth="1"/>
    <col min="14611" max="14611" width="15.5703125" style="297" customWidth="1"/>
    <col min="14612" max="14612" width="14.140625" style="297" customWidth="1"/>
    <col min="14613" max="14613" width="1.7109375" style="297" customWidth="1"/>
    <col min="14614" max="14614" width="13.7109375" style="297" customWidth="1"/>
    <col min="14615" max="14615" width="13.85546875" style="297" bestFit="1" customWidth="1"/>
    <col min="14616" max="14616" width="2.5703125" style="297" customWidth="1"/>
    <col min="14617" max="14617" width="12.42578125" style="297" customWidth="1"/>
    <col min="14618" max="14618" width="13.5703125" style="297" customWidth="1"/>
    <col min="14619" max="14619" width="2.5703125" style="297" customWidth="1"/>
    <col min="14620" max="14620" width="12.42578125" style="297" customWidth="1"/>
    <col min="14621" max="14621" width="13.5703125" style="297" customWidth="1"/>
    <col min="14622" max="14622" width="2.5703125" style="297" customWidth="1"/>
    <col min="14623" max="14623" width="11.5703125" style="297" customWidth="1"/>
    <col min="14624" max="14624" width="13" style="297" customWidth="1"/>
    <col min="14625" max="14625" width="1.42578125" style="297" customWidth="1"/>
    <col min="14626" max="14626" width="10.5703125" style="297" customWidth="1"/>
    <col min="14627" max="14858" width="11" style="297"/>
    <col min="14859" max="14859" width="1.5703125" style="297" customWidth="1"/>
    <col min="14860" max="14860" width="8.5703125" style="297" customWidth="1"/>
    <col min="14861" max="14861" width="28.7109375" style="297" customWidth="1"/>
    <col min="14862" max="14862" width="26.5703125" style="297" customWidth="1"/>
    <col min="14863" max="14863" width="7.7109375" style="297" customWidth="1"/>
    <col min="14864" max="14864" width="19.42578125" style="297" customWidth="1"/>
    <col min="14865" max="14865" width="44.28515625" style="297" customWidth="1"/>
    <col min="14866" max="14866" width="17" style="297" customWidth="1"/>
    <col min="14867" max="14867" width="15.5703125" style="297" customWidth="1"/>
    <col min="14868" max="14868" width="14.140625" style="297" customWidth="1"/>
    <col min="14869" max="14869" width="1.7109375" style="297" customWidth="1"/>
    <col min="14870" max="14870" width="13.7109375" style="297" customWidth="1"/>
    <col min="14871" max="14871" width="13.85546875" style="297" bestFit="1" customWidth="1"/>
    <col min="14872" max="14872" width="2.5703125" style="297" customWidth="1"/>
    <col min="14873" max="14873" width="12.42578125" style="297" customWidth="1"/>
    <col min="14874" max="14874" width="13.5703125" style="297" customWidth="1"/>
    <col min="14875" max="14875" width="2.5703125" style="297" customWidth="1"/>
    <col min="14876" max="14876" width="12.42578125" style="297" customWidth="1"/>
    <col min="14877" max="14877" width="13.5703125" style="297" customWidth="1"/>
    <col min="14878" max="14878" width="2.5703125" style="297" customWidth="1"/>
    <col min="14879" max="14879" width="11.5703125" style="297" customWidth="1"/>
    <col min="14880" max="14880" width="13" style="297" customWidth="1"/>
    <col min="14881" max="14881" width="1.42578125" style="297" customWidth="1"/>
    <col min="14882" max="14882" width="10.5703125" style="297" customWidth="1"/>
    <col min="14883" max="15114" width="11" style="297"/>
    <col min="15115" max="15115" width="1.5703125" style="297" customWidth="1"/>
    <col min="15116" max="15116" width="8.5703125" style="297" customWidth="1"/>
    <col min="15117" max="15117" width="28.7109375" style="297" customWidth="1"/>
    <col min="15118" max="15118" width="26.5703125" style="297" customWidth="1"/>
    <col min="15119" max="15119" width="7.7109375" style="297" customWidth="1"/>
    <col min="15120" max="15120" width="19.42578125" style="297" customWidth="1"/>
    <col min="15121" max="15121" width="44.28515625" style="297" customWidth="1"/>
    <col min="15122" max="15122" width="17" style="297" customWidth="1"/>
    <col min="15123" max="15123" width="15.5703125" style="297" customWidth="1"/>
    <col min="15124" max="15124" width="14.140625" style="297" customWidth="1"/>
    <col min="15125" max="15125" width="1.7109375" style="297" customWidth="1"/>
    <col min="15126" max="15126" width="13.7109375" style="297" customWidth="1"/>
    <col min="15127" max="15127" width="13.85546875" style="297" bestFit="1" customWidth="1"/>
    <col min="15128" max="15128" width="2.5703125" style="297" customWidth="1"/>
    <col min="15129" max="15129" width="12.42578125" style="297" customWidth="1"/>
    <col min="15130" max="15130" width="13.5703125" style="297" customWidth="1"/>
    <col min="15131" max="15131" width="2.5703125" style="297" customWidth="1"/>
    <col min="15132" max="15132" width="12.42578125" style="297" customWidth="1"/>
    <col min="15133" max="15133" width="13.5703125" style="297" customWidth="1"/>
    <col min="15134" max="15134" width="2.5703125" style="297" customWidth="1"/>
    <col min="15135" max="15135" width="11.5703125" style="297" customWidth="1"/>
    <col min="15136" max="15136" width="13" style="297" customWidth="1"/>
    <col min="15137" max="15137" width="1.42578125" style="297" customWidth="1"/>
    <col min="15138" max="15138" width="10.5703125" style="297" customWidth="1"/>
    <col min="15139" max="15370" width="11" style="297"/>
    <col min="15371" max="15371" width="1.5703125" style="297" customWidth="1"/>
    <col min="15372" max="15372" width="8.5703125" style="297" customWidth="1"/>
    <col min="15373" max="15373" width="28.7109375" style="297" customWidth="1"/>
    <col min="15374" max="15374" width="26.5703125" style="297" customWidth="1"/>
    <col min="15375" max="15375" width="7.7109375" style="297" customWidth="1"/>
    <col min="15376" max="15376" width="19.42578125" style="297" customWidth="1"/>
    <col min="15377" max="15377" width="44.28515625" style="297" customWidth="1"/>
    <col min="15378" max="15378" width="17" style="297" customWidth="1"/>
    <col min="15379" max="15379" width="15.5703125" style="297" customWidth="1"/>
    <col min="15380" max="15380" width="14.140625" style="297" customWidth="1"/>
    <col min="15381" max="15381" width="1.7109375" style="297" customWidth="1"/>
    <col min="15382" max="15382" width="13.7109375" style="297" customWidth="1"/>
    <col min="15383" max="15383" width="13.85546875" style="297" bestFit="1" customWidth="1"/>
    <col min="15384" max="15384" width="2.5703125" style="297" customWidth="1"/>
    <col min="15385" max="15385" width="12.42578125" style="297" customWidth="1"/>
    <col min="15386" max="15386" width="13.5703125" style="297" customWidth="1"/>
    <col min="15387" max="15387" width="2.5703125" style="297" customWidth="1"/>
    <col min="15388" max="15388" width="12.42578125" style="297" customWidth="1"/>
    <col min="15389" max="15389" width="13.5703125" style="297" customWidth="1"/>
    <col min="15390" max="15390" width="2.5703125" style="297" customWidth="1"/>
    <col min="15391" max="15391" width="11.5703125" style="297" customWidth="1"/>
    <col min="15392" max="15392" width="13" style="297" customWidth="1"/>
    <col min="15393" max="15393" width="1.42578125" style="297" customWidth="1"/>
    <col min="15394" max="15394" width="10.5703125" style="297" customWidth="1"/>
    <col min="15395" max="15626" width="11" style="297"/>
    <col min="15627" max="15627" width="1.5703125" style="297" customWidth="1"/>
    <col min="15628" max="15628" width="8.5703125" style="297" customWidth="1"/>
    <col min="15629" max="15629" width="28.7109375" style="297" customWidth="1"/>
    <col min="15630" max="15630" width="26.5703125" style="297" customWidth="1"/>
    <col min="15631" max="15631" width="7.7109375" style="297" customWidth="1"/>
    <col min="15632" max="15632" width="19.42578125" style="297" customWidth="1"/>
    <col min="15633" max="15633" width="44.28515625" style="297" customWidth="1"/>
    <col min="15634" max="15634" width="17" style="297" customWidth="1"/>
    <col min="15635" max="15635" width="15.5703125" style="297" customWidth="1"/>
    <col min="15636" max="15636" width="14.140625" style="297" customWidth="1"/>
    <col min="15637" max="15637" width="1.7109375" style="297" customWidth="1"/>
    <col min="15638" max="15638" width="13.7109375" style="297" customWidth="1"/>
    <col min="15639" max="15639" width="13.85546875" style="297" bestFit="1" customWidth="1"/>
    <col min="15640" max="15640" width="2.5703125" style="297" customWidth="1"/>
    <col min="15641" max="15641" width="12.42578125" style="297" customWidth="1"/>
    <col min="15642" max="15642" width="13.5703125" style="297" customWidth="1"/>
    <col min="15643" max="15643" width="2.5703125" style="297" customWidth="1"/>
    <col min="15644" max="15644" width="12.42578125" style="297" customWidth="1"/>
    <col min="15645" max="15645" width="13.5703125" style="297" customWidth="1"/>
    <col min="15646" max="15646" width="2.5703125" style="297" customWidth="1"/>
    <col min="15647" max="15647" width="11.5703125" style="297" customWidth="1"/>
    <col min="15648" max="15648" width="13" style="297" customWidth="1"/>
    <col min="15649" max="15649" width="1.42578125" style="297" customWidth="1"/>
    <col min="15650" max="15650" width="10.5703125" style="297" customWidth="1"/>
    <col min="15651" max="15882" width="11" style="297"/>
    <col min="15883" max="15883" width="1.5703125" style="297" customWidth="1"/>
    <col min="15884" max="15884" width="8.5703125" style="297" customWidth="1"/>
    <col min="15885" max="15885" width="28.7109375" style="297" customWidth="1"/>
    <col min="15886" max="15886" width="26.5703125" style="297" customWidth="1"/>
    <col min="15887" max="15887" width="7.7109375" style="297" customWidth="1"/>
    <col min="15888" max="15888" width="19.42578125" style="297" customWidth="1"/>
    <col min="15889" max="15889" width="44.28515625" style="297" customWidth="1"/>
    <col min="15890" max="15890" width="17" style="297" customWidth="1"/>
    <col min="15891" max="15891" width="15.5703125" style="297" customWidth="1"/>
    <col min="15892" max="15892" width="14.140625" style="297" customWidth="1"/>
    <col min="15893" max="15893" width="1.7109375" style="297" customWidth="1"/>
    <col min="15894" max="15894" width="13.7109375" style="297" customWidth="1"/>
    <col min="15895" max="15895" width="13.85546875" style="297" bestFit="1" customWidth="1"/>
    <col min="15896" max="15896" width="2.5703125" style="297" customWidth="1"/>
    <col min="15897" max="15897" width="12.42578125" style="297" customWidth="1"/>
    <col min="15898" max="15898" width="13.5703125" style="297" customWidth="1"/>
    <col min="15899" max="15899" width="2.5703125" style="297" customWidth="1"/>
    <col min="15900" max="15900" width="12.42578125" style="297" customWidth="1"/>
    <col min="15901" max="15901" width="13.5703125" style="297" customWidth="1"/>
    <col min="15902" max="15902" width="2.5703125" style="297" customWidth="1"/>
    <col min="15903" max="15903" width="11.5703125" style="297" customWidth="1"/>
    <col min="15904" max="15904" width="13" style="297" customWidth="1"/>
    <col min="15905" max="15905" width="1.42578125" style="297" customWidth="1"/>
    <col min="15906" max="15906" width="10.5703125" style="297" customWidth="1"/>
    <col min="15907" max="16138" width="11" style="297"/>
    <col min="16139" max="16139" width="1.5703125" style="297" customWidth="1"/>
    <col min="16140" max="16140" width="8.5703125" style="297" customWidth="1"/>
    <col min="16141" max="16141" width="28.7109375" style="297" customWidth="1"/>
    <col min="16142" max="16142" width="26.5703125" style="297" customWidth="1"/>
    <col min="16143" max="16143" width="7.7109375" style="297" customWidth="1"/>
    <col min="16144" max="16144" width="19.42578125" style="297" customWidth="1"/>
    <col min="16145" max="16145" width="44.28515625" style="297" customWidth="1"/>
    <col min="16146" max="16146" width="17" style="297" customWidth="1"/>
    <col min="16147" max="16147" width="15.5703125" style="297" customWidth="1"/>
    <col min="16148" max="16148" width="14.140625" style="297" customWidth="1"/>
    <col min="16149" max="16149" width="1.7109375" style="297" customWidth="1"/>
    <col min="16150" max="16150" width="13.7109375" style="297" customWidth="1"/>
    <col min="16151" max="16151" width="13.85546875" style="297" bestFit="1" customWidth="1"/>
    <col min="16152" max="16152" width="2.5703125" style="297" customWidth="1"/>
    <col min="16153" max="16153" width="12.42578125" style="297" customWidth="1"/>
    <col min="16154" max="16154" width="13.5703125" style="297" customWidth="1"/>
    <col min="16155" max="16155" width="2.5703125" style="297" customWidth="1"/>
    <col min="16156" max="16156" width="12.42578125" style="297" customWidth="1"/>
    <col min="16157" max="16157" width="13.5703125" style="297" customWidth="1"/>
    <col min="16158" max="16158" width="2.5703125" style="297" customWidth="1"/>
    <col min="16159" max="16159" width="11.5703125" style="297" customWidth="1"/>
    <col min="16160" max="16160" width="13" style="297" customWidth="1"/>
    <col min="16161" max="16161" width="1.42578125" style="297" customWidth="1"/>
    <col min="16162" max="16162" width="10.5703125" style="297" customWidth="1"/>
    <col min="16163" max="16384" width="11" style="297"/>
  </cols>
  <sheetData>
    <row r="1" spans="2:90" s="443" customFormat="1" ht="19.5" customHeight="1" x14ac:dyDescent="0.2">
      <c r="B1" s="1024"/>
      <c r="C1" s="1025"/>
      <c r="D1" s="1195" t="s">
        <v>954</v>
      </c>
      <c r="E1" s="1196"/>
      <c r="F1" s="1196" t="s">
        <v>955</v>
      </c>
      <c r="G1" s="1196"/>
      <c r="H1" s="1196"/>
      <c r="I1" s="1196"/>
      <c r="J1" s="1196"/>
      <c r="K1" s="1196"/>
      <c r="L1" s="1196"/>
      <c r="M1" s="1196"/>
      <c r="N1" s="1196"/>
      <c r="O1" s="1196"/>
      <c r="P1" s="1196"/>
      <c r="Q1" s="1196"/>
      <c r="R1" s="1196"/>
      <c r="S1" s="1196"/>
      <c r="T1" s="1196"/>
      <c r="U1" s="1196"/>
      <c r="V1" s="1197"/>
      <c r="W1" s="1194"/>
      <c r="X1" s="1195"/>
      <c r="Y1" s="1196"/>
      <c r="Z1" s="1196"/>
      <c r="AA1" s="1196"/>
      <c r="AB1" s="1196"/>
      <c r="AC1" s="1196"/>
      <c r="AD1" s="1196"/>
      <c r="AE1" s="1196"/>
      <c r="AF1" s="1196"/>
      <c r="AG1" s="1197"/>
      <c r="AH1" s="1198"/>
    </row>
    <row r="2" spans="2:90" s="443" customFormat="1" ht="23.25" customHeight="1" x14ac:dyDescent="0.2">
      <c r="B2" s="1026"/>
      <c r="C2" s="1027"/>
      <c r="D2" s="1200" t="s">
        <v>956</v>
      </c>
      <c r="E2" s="1201"/>
      <c r="F2" s="1201" t="s">
        <v>800</v>
      </c>
      <c r="G2" s="1201"/>
      <c r="H2" s="1201"/>
      <c r="I2" s="1201"/>
      <c r="J2" s="1201"/>
      <c r="K2" s="1201"/>
      <c r="L2" s="1201"/>
      <c r="M2" s="1201"/>
      <c r="N2" s="1201"/>
      <c r="O2" s="1201"/>
      <c r="P2" s="1201"/>
      <c r="Q2" s="1201"/>
      <c r="R2" s="1201"/>
      <c r="S2" s="1201"/>
      <c r="T2" s="1201"/>
      <c r="U2" s="1201"/>
      <c r="V2" s="1202"/>
      <c r="W2" s="1199"/>
      <c r="X2" s="1200"/>
      <c r="Y2" s="1201"/>
      <c r="Z2" s="1201"/>
      <c r="AA2" s="1201"/>
      <c r="AB2" s="1201"/>
      <c r="AC2" s="1201"/>
      <c r="AD2" s="1201"/>
      <c r="AE2" s="1201"/>
      <c r="AF2" s="1201"/>
      <c r="AG2" s="1202"/>
      <c r="AH2" s="1203"/>
    </row>
    <row r="3" spans="2:90" s="443" customFormat="1" ht="19.5" customHeight="1" thickBot="1" x14ac:dyDescent="0.25">
      <c r="B3" s="1028"/>
      <c r="C3" s="1029"/>
      <c r="D3" s="1205" t="s">
        <v>852</v>
      </c>
      <c r="E3" s="1206"/>
      <c r="F3" s="444" t="s">
        <v>960</v>
      </c>
      <c r="G3" s="1209" t="s">
        <v>961</v>
      </c>
      <c r="H3" s="1209"/>
      <c r="I3" s="1209"/>
      <c r="J3" s="1209"/>
      <c r="K3" s="1209"/>
      <c r="L3" s="1209"/>
      <c r="M3" s="1209"/>
      <c r="N3" s="1209"/>
      <c r="O3" s="1209"/>
      <c r="P3" s="1209"/>
      <c r="Q3" s="869"/>
      <c r="R3" s="1207" t="s">
        <v>959</v>
      </c>
      <c r="S3" s="1210"/>
      <c r="T3" s="1210"/>
      <c r="U3" s="1205"/>
      <c r="V3" s="445">
        <v>1</v>
      </c>
      <c r="W3" s="1204"/>
      <c r="X3" s="1205"/>
      <c r="Y3" s="1206"/>
      <c r="Z3" s="1206"/>
      <c r="AA3" s="1206"/>
      <c r="AB3" s="1206"/>
      <c r="AC3" s="1206"/>
      <c r="AD3" s="1206"/>
      <c r="AE3" s="1206"/>
      <c r="AF3" s="1206"/>
      <c r="AG3" s="1207"/>
      <c r="AH3" s="1208"/>
    </row>
    <row r="4" spans="2:90" ht="18.75" thickBot="1" x14ac:dyDescent="0.25">
      <c r="B4" s="440"/>
      <c r="C4" s="440"/>
      <c r="D4" s="440"/>
      <c r="E4" s="440"/>
      <c r="F4" s="440"/>
      <c r="G4" s="440"/>
      <c r="H4" s="440"/>
      <c r="I4" s="440"/>
      <c r="J4" s="440"/>
      <c r="K4" s="440"/>
      <c r="L4" s="440"/>
      <c r="M4" s="440"/>
      <c r="N4" s="1401"/>
      <c r="O4" s="440"/>
      <c r="P4" s="440"/>
      <c r="Q4" s="440"/>
      <c r="R4" s="440"/>
      <c r="S4" s="440"/>
      <c r="T4" s="440"/>
      <c r="U4" s="440"/>
      <c r="V4" s="440"/>
      <c r="W4" s="440"/>
      <c r="X4" s="440"/>
      <c r="Y4" s="440"/>
      <c r="Z4" s="440"/>
      <c r="AA4" s="440"/>
      <c r="AB4" s="440"/>
      <c r="AC4" s="440"/>
      <c r="AD4" s="440"/>
      <c r="AE4" s="440"/>
      <c r="AF4" s="440"/>
      <c r="AG4" s="440"/>
      <c r="AH4" s="440"/>
    </row>
    <row r="5" spans="2:90" ht="18.75" customHeight="1" thickBot="1" x14ac:dyDescent="0.25">
      <c r="B5" s="1124" t="s">
        <v>928</v>
      </c>
      <c r="C5" s="1125"/>
      <c r="D5" s="1124" t="s">
        <v>929</v>
      </c>
      <c r="E5" s="1125"/>
      <c r="AH5" s="300"/>
    </row>
    <row r="6" spans="2:90" ht="18.75" customHeight="1" x14ac:dyDescent="0.2">
      <c r="B6" s="429" t="s">
        <v>740</v>
      </c>
      <c r="C6" s="301" t="s">
        <v>741</v>
      </c>
      <c r="D6" s="429" t="s">
        <v>740</v>
      </c>
      <c r="E6" s="301" t="s">
        <v>741</v>
      </c>
      <c r="AH6" s="300"/>
    </row>
    <row r="7" spans="2:90" ht="18.75" customHeight="1" x14ac:dyDescent="0.2">
      <c r="B7" s="430" t="s">
        <v>778</v>
      </c>
      <c r="C7" s="302" t="s">
        <v>780</v>
      </c>
      <c r="D7" s="430" t="s">
        <v>922</v>
      </c>
      <c r="E7" s="302" t="s">
        <v>780</v>
      </c>
      <c r="F7" s="303"/>
      <c r="G7" s="304"/>
      <c r="I7" s="305"/>
      <c r="J7" s="305"/>
      <c r="AH7" s="300"/>
    </row>
    <row r="8" spans="2:90" ht="25.5" x14ac:dyDescent="0.2">
      <c r="B8" s="431" t="s">
        <v>779</v>
      </c>
      <c r="C8" s="302" t="s">
        <v>745</v>
      </c>
      <c r="D8" s="431" t="s">
        <v>923</v>
      </c>
      <c r="E8" s="302" t="s">
        <v>745</v>
      </c>
      <c r="G8" s="304"/>
      <c r="H8" s="306"/>
      <c r="I8" s="305"/>
      <c r="J8" s="305"/>
      <c r="AH8" s="307"/>
    </row>
    <row r="9" spans="2:90" ht="25.5" x14ac:dyDescent="0.2">
      <c r="B9" s="432" t="s">
        <v>776</v>
      </c>
      <c r="C9" s="302" t="s">
        <v>747</v>
      </c>
      <c r="D9" s="432" t="s">
        <v>924</v>
      </c>
      <c r="E9" s="302" t="s">
        <v>747</v>
      </c>
      <c r="G9" s="304"/>
      <c r="H9" s="304"/>
      <c r="I9" s="305"/>
      <c r="J9" s="305"/>
      <c r="AH9" s="308"/>
    </row>
    <row r="10" spans="2:90" ht="15" x14ac:dyDescent="0.2">
      <c r="B10" s="433" t="s">
        <v>777</v>
      </c>
      <c r="C10" s="302" t="s">
        <v>748</v>
      </c>
      <c r="D10" s="433" t="s">
        <v>925</v>
      </c>
      <c r="E10" s="302" t="s">
        <v>748</v>
      </c>
      <c r="G10" s="304"/>
      <c r="I10" s="305"/>
      <c r="J10" s="305"/>
      <c r="AH10" s="308"/>
    </row>
    <row r="11" spans="2:90" ht="15.75" thickBot="1" x14ac:dyDescent="0.25">
      <c r="B11" s="434" t="s">
        <v>749</v>
      </c>
      <c r="C11" s="309" t="s">
        <v>750</v>
      </c>
      <c r="D11" s="435" t="s">
        <v>952</v>
      </c>
      <c r="E11" s="309" t="s">
        <v>750</v>
      </c>
      <c r="AH11" s="308"/>
    </row>
    <row r="12" spans="2:90" ht="15.75" thickBot="1" x14ac:dyDescent="0.25">
      <c r="D12" s="310"/>
      <c r="E12" s="310"/>
      <c r="F12" s="310"/>
      <c r="AH12" s="308"/>
    </row>
    <row r="13" spans="2:90" ht="21" customHeight="1" thickBot="1" x14ac:dyDescent="0.25">
      <c r="G13" s="311"/>
      <c r="H13" s="1129" t="s">
        <v>781</v>
      </c>
      <c r="I13" s="1130"/>
      <c r="J13" s="1130"/>
      <c r="K13" s="1130"/>
      <c r="L13" s="1130"/>
      <c r="M13" s="1130"/>
      <c r="N13" s="1131"/>
      <c r="O13" s="1131"/>
      <c r="P13" s="1131"/>
      <c r="Q13" s="1131"/>
      <c r="R13" s="1131"/>
      <c r="S13" s="1131"/>
      <c r="T13" s="1131"/>
      <c r="U13" s="1131"/>
      <c r="V13" s="1131"/>
      <c r="W13" s="1131"/>
      <c r="X13" s="1131"/>
      <c r="Y13" s="1131"/>
      <c r="Z13" s="1131"/>
      <c r="AA13" s="1131"/>
      <c r="AB13" s="1131"/>
      <c r="AC13" s="1131"/>
      <c r="AD13" s="1131"/>
      <c r="AE13" s="1131"/>
      <c r="AF13" s="1131"/>
      <c r="AG13" s="1131"/>
      <c r="AH13" s="1132"/>
      <c r="AJ13" s="1133" t="s">
        <v>781</v>
      </c>
      <c r="AK13" s="1134"/>
      <c r="AL13" s="1134"/>
      <c r="AM13" s="1134"/>
      <c r="AN13" s="1134"/>
      <c r="AO13" s="1134"/>
      <c r="AP13" s="1134"/>
      <c r="AQ13" s="1134"/>
      <c r="AR13" s="1134"/>
      <c r="AS13" s="1134"/>
      <c r="AT13" s="1134"/>
      <c r="AU13" s="1134"/>
      <c r="AV13" s="1135"/>
      <c r="AX13" s="1133" t="s">
        <v>782</v>
      </c>
      <c r="AY13" s="1134"/>
      <c r="AZ13" s="1134"/>
      <c r="BA13" s="1134"/>
      <c r="BB13" s="1134"/>
      <c r="BC13" s="1134"/>
      <c r="BD13" s="1134"/>
      <c r="BE13" s="1134"/>
      <c r="BF13" s="1134"/>
      <c r="BG13" s="1134"/>
      <c r="BH13" s="1134"/>
      <c r="BI13" s="1134"/>
      <c r="BJ13" s="1135"/>
      <c r="BL13" s="1133" t="s">
        <v>783</v>
      </c>
      <c r="BM13" s="1134"/>
      <c r="BN13" s="1134"/>
      <c r="BO13" s="1134"/>
      <c r="BP13" s="1134"/>
      <c r="BQ13" s="1134"/>
      <c r="BR13" s="1134"/>
      <c r="BS13" s="1134"/>
      <c r="BT13" s="1134"/>
      <c r="BU13" s="1134"/>
      <c r="BV13" s="1134"/>
      <c r="BW13" s="1134"/>
      <c r="BX13" s="1135"/>
      <c r="BZ13" s="1133" t="s">
        <v>784</v>
      </c>
      <c r="CA13" s="1134"/>
      <c r="CB13" s="1134"/>
      <c r="CC13" s="1134"/>
      <c r="CD13" s="1134"/>
      <c r="CE13" s="1134"/>
      <c r="CF13" s="1134"/>
      <c r="CG13" s="1134"/>
      <c r="CH13" s="1134"/>
      <c r="CI13" s="1134"/>
      <c r="CJ13" s="1134"/>
      <c r="CK13" s="1134"/>
      <c r="CL13" s="1135"/>
    </row>
    <row r="14" spans="2:90" s="318" customFormat="1" ht="59.25" customHeight="1" thickBot="1" x14ac:dyDescent="0.3">
      <c r="B14" s="312" t="s">
        <v>785</v>
      </c>
      <c r="C14" s="312" t="s">
        <v>795</v>
      </c>
      <c r="D14" s="312" t="s">
        <v>797</v>
      </c>
      <c r="E14" s="312" t="s">
        <v>796</v>
      </c>
      <c r="F14" s="313" t="s">
        <v>0</v>
      </c>
      <c r="G14" s="314"/>
      <c r="H14" s="1383" t="s">
        <v>802</v>
      </c>
      <c r="I14" s="1384" t="s">
        <v>926</v>
      </c>
      <c r="J14" s="1385"/>
      <c r="K14" s="1386" t="s">
        <v>801</v>
      </c>
      <c r="L14" s="1193"/>
      <c r="M14" s="1387"/>
      <c r="N14" s="1403"/>
      <c r="O14" s="1379" t="s">
        <v>803</v>
      </c>
      <c r="P14" s="1380" t="s">
        <v>926</v>
      </c>
      <c r="Q14" s="1381"/>
      <c r="R14" s="1089" t="s">
        <v>801</v>
      </c>
      <c r="S14" s="1090"/>
      <c r="T14" s="1091"/>
      <c r="U14" s="316"/>
      <c r="V14" s="315" t="s">
        <v>804</v>
      </c>
      <c r="W14" s="1086" t="s">
        <v>926</v>
      </c>
      <c r="X14" s="1087"/>
      <c r="Y14" s="1089" t="s">
        <v>801</v>
      </c>
      <c r="Z14" s="1090"/>
      <c r="AA14" s="1091"/>
      <c r="AB14" s="316"/>
      <c r="AC14" s="315" t="s">
        <v>805</v>
      </c>
      <c r="AD14" s="1086" t="s">
        <v>926</v>
      </c>
      <c r="AE14" s="1088"/>
      <c r="AF14" s="1192" t="s">
        <v>801</v>
      </c>
      <c r="AG14" s="1193"/>
      <c r="AH14" s="317" t="s">
        <v>806</v>
      </c>
      <c r="AJ14" s="319" t="s">
        <v>786</v>
      </c>
      <c r="AK14" s="319" t="s">
        <v>927</v>
      </c>
      <c r="AL14" s="316"/>
      <c r="AM14" s="319" t="s">
        <v>787</v>
      </c>
      <c r="AN14" s="319" t="s">
        <v>927</v>
      </c>
      <c r="AO14" s="316"/>
      <c r="AP14" s="319" t="s">
        <v>790</v>
      </c>
      <c r="AQ14" s="319" t="s">
        <v>927</v>
      </c>
      <c r="AR14" s="316"/>
      <c r="AS14" s="319" t="s">
        <v>788</v>
      </c>
      <c r="AT14" s="319" t="s">
        <v>927</v>
      </c>
      <c r="AU14" s="316"/>
      <c r="AV14" s="319" t="s">
        <v>789</v>
      </c>
      <c r="AX14" s="319" t="s">
        <v>786</v>
      </c>
      <c r="AY14" s="319" t="s">
        <v>927</v>
      </c>
      <c r="AZ14" s="316"/>
      <c r="BA14" s="319" t="s">
        <v>787</v>
      </c>
      <c r="BB14" s="319" t="s">
        <v>927</v>
      </c>
      <c r="BC14" s="316"/>
      <c r="BD14" s="319" t="s">
        <v>790</v>
      </c>
      <c r="BE14" s="319" t="s">
        <v>927</v>
      </c>
      <c r="BF14" s="316"/>
      <c r="BG14" s="319" t="s">
        <v>788</v>
      </c>
      <c r="BH14" s="319" t="s">
        <v>927</v>
      </c>
      <c r="BI14" s="316"/>
      <c r="BJ14" s="319" t="s">
        <v>789</v>
      </c>
      <c r="BL14" s="319" t="s">
        <v>786</v>
      </c>
      <c r="BM14" s="319" t="s">
        <v>927</v>
      </c>
      <c r="BN14" s="316"/>
      <c r="BO14" s="319" t="s">
        <v>787</v>
      </c>
      <c r="BP14" s="319" t="s">
        <v>927</v>
      </c>
      <c r="BQ14" s="316"/>
      <c r="BR14" s="319" t="s">
        <v>790</v>
      </c>
      <c r="BS14" s="319" t="s">
        <v>927</v>
      </c>
      <c r="BT14" s="316"/>
      <c r="BU14" s="319" t="s">
        <v>788</v>
      </c>
      <c r="BV14" s="319" t="s">
        <v>927</v>
      </c>
      <c r="BW14" s="316"/>
      <c r="BX14" s="319" t="s">
        <v>789</v>
      </c>
      <c r="BZ14" s="319" t="s">
        <v>786</v>
      </c>
      <c r="CA14" s="319" t="s">
        <v>927</v>
      </c>
      <c r="CB14" s="316"/>
      <c r="CC14" s="319" t="s">
        <v>787</v>
      </c>
      <c r="CD14" s="319" t="s">
        <v>927</v>
      </c>
      <c r="CE14" s="316"/>
      <c r="CF14" s="319" t="s">
        <v>790</v>
      </c>
      <c r="CG14" s="319" t="s">
        <v>927</v>
      </c>
      <c r="CH14" s="316"/>
      <c r="CI14" s="319" t="s">
        <v>788</v>
      </c>
      <c r="CJ14" s="319" t="s">
        <v>927</v>
      </c>
      <c r="CK14" s="316"/>
      <c r="CL14" s="319" t="s">
        <v>789</v>
      </c>
    </row>
    <row r="15" spans="2:90" ht="43.5" thickBot="1" x14ac:dyDescent="0.25">
      <c r="B15" s="1176" t="s">
        <v>791</v>
      </c>
      <c r="C15" s="1139" t="s">
        <v>256</v>
      </c>
      <c r="D15" s="1162" t="str">
        <f>+'Plan de Accion 2018'!F92</f>
        <v>Seguimiento Ejecución Presupuestal de recursos administrados UGG</v>
      </c>
      <c r="E15" s="1145" t="str">
        <f>+'Plan de Accion 2018'!B92</f>
        <v>Dirección Administrativa y Financiera</v>
      </c>
      <c r="F15" s="320" t="str">
        <f>+'Plan de Accion 2018'!R92</f>
        <v>Ejecución del Trimestre / Presupuesto Proyectado del Trimestre</v>
      </c>
      <c r="G15" s="321"/>
      <c r="H15" s="914">
        <f>+'Plan de Accion 2018'!AA92</f>
        <v>0.14934145290961495</v>
      </c>
      <c r="I15" s="915">
        <f>+'Plan de Accion 2018'!BM92</f>
        <v>0.59736581163845981</v>
      </c>
      <c r="J15" s="915">
        <f>IF(I15&gt;100%,100%,I15)</f>
        <v>0.59736581163845981</v>
      </c>
      <c r="K15" s="915">
        <f>+'Plan de Accion 2018'!AF92</f>
        <v>0.14934145290961495</v>
      </c>
      <c r="L15" s="915">
        <f>IF(K15&gt;25%,25%,K15)</f>
        <v>0.14934145290961495</v>
      </c>
      <c r="M15" s="1390">
        <f>+L15</f>
        <v>0.14934145290961495</v>
      </c>
      <c r="N15" s="883"/>
      <c r="O15" s="914">
        <f>+'Plan de Accion 2018'!AK92</f>
        <v>0.17408237216574074</v>
      </c>
      <c r="P15" s="915">
        <f>+'Plan de Accion 2018'!BO92</f>
        <v>0.69632948866296296</v>
      </c>
      <c r="Q15" s="916">
        <f>IF(P15&gt;100%,100%,P15)</f>
        <v>0.69632948866296296</v>
      </c>
      <c r="R15" s="915">
        <f>+'Plan de Accion 2018'!AP92</f>
        <v>0.32342382507535572</v>
      </c>
      <c r="S15" s="915">
        <f>IF(R15&gt;50%,50%,R15)</f>
        <v>0.32342382507535572</v>
      </c>
      <c r="T15" s="917">
        <f>+S15</f>
        <v>0.32342382507535572</v>
      </c>
      <c r="U15" s="324"/>
      <c r="V15" s="914">
        <f>+'Plan de Accion 2018'!AU92</f>
        <v>0</v>
      </c>
      <c r="W15" s="915">
        <f>+'Plan de Accion 2018'!BQ92</f>
        <v>0</v>
      </c>
      <c r="X15" s="916">
        <f>IF(W15&gt;100%,100%,W15)</f>
        <v>0</v>
      </c>
      <c r="Y15" s="915">
        <f>+'Plan de Accion 2018'!AZ92</f>
        <v>0.32342382507535572</v>
      </c>
      <c r="Z15" s="915">
        <f>IF(Y15&gt;75%,75%,Y15)</f>
        <v>0.32342382507535572</v>
      </c>
      <c r="AA15" s="917">
        <f>+Z15</f>
        <v>0.32342382507535572</v>
      </c>
      <c r="AB15" s="324"/>
      <c r="AC15" s="322">
        <f>+'Plan de Accion 2018'!BE92</f>
        <v>0</v>
      </c>
      <c r="AD15" s="323">
        <f>+'Plan de Accion 2018'!BS92</f>
        <v>0</v>
      </c>
      <c r="AE15" s="870">
        <f>IF(AD15&gt;100%,100%,AD15)</f>
        <v>0</v>
      </c>
      <c r="AF15" s="886">
        <f>+'Plan de Accion 2018'!BJ92</f>
        <v>0.32342382507535572</v>
      </c>
      <c r="AG15" s="878">
        <f>IF(AF15&gt;100%,100%,AF15)</f>
        <v>0.32342382507535572</v>
      </c>
      <c r="AH15" s="325"/>
      <c r="AJ15" s="326" t="e">
        <f>+(#REF!+#REF!+#REF!)/(#REF!+#REF!+#REF!)-1</f>
        <v>#REF!</v>
      </c>
      <c r="AK15" s="327" t="e">
        <f>+AJ15/#REF!</f>
        <v>#REF!</v>
      </c>
      <c r="AL15" s="321"/>
      <c r="AM15" s="326" t="e">
        <f>+(#REF!+#REF!+#REF!)/(#REF!+#REF!+#REF!)-1</f>
        <v>#REF!</v>
      </c>
      <c r="AN15" s="327" t="e">
        <f>+AM15/#REF!</f>
        <v>#REF!</v>
      </c>
      <c r="AO15" s="321"/>
      <c r="AP15" s="326" t="e">
        <f>+(#REF!+#REF!+#REF!)/(#REF!+#REF!+#REF!)-1</f>
        <v>#REF!</v>
      </c>
      <c r="AQ15" s="327" t="e">
        <f>+AP15/#REF!</f>
        <v>#REF!</v>
      </c>
      <c r="AR15" s="321"/>
      <c r="AS15" s="326" t="e">
        <f>+(#REF!+#REF!+#REF!)/(#REF!+#REF!+#REF!)-1</f>
        <v>#REF!</v>
      </c>
      <c r="AT15" s="327" t="e">
        <f>+AS15/#REF!</f>
        <v>#REF!</v>
      </c>
      <c r="AU15" s="328"/>
      <c r="AV15" s="329"/>
      <c r="AX15" s="326" t="e">
        <f>+(#REF!+#REF!+#REF!)/(#REF!+#REF!+#REF!)-1</f>
        <v>#REF!</v>
      </c>
      <c r="AY15" s="327" t="e">
        <f>+AX15/#REF!</f>
        <v>#REF!</v>
      </c>
      <c r="AZ15" s="321"/>
      <c r="BA15" s="326" t="e">
        <f>+(#REF!+#REF!+#REF!)/(#REF!+#REF!+#REF!)-1</f>
        <v>#REF!</v>
      </c>
      <c r="BB15" s="327" t="e">
        <f>+BA15/#REF!</f>
        <v>#REF!</v>
      </c>
      <c r="BC15" s="321"/>
      <c r="BD15" s="326" t="e">
        <f>+(#REF!+#REF!+#REF!)/(#REF!+#REF!+#REF!)-1</f>
        <v>#REF!</v>
      </c>
      <c r="BE15" s="327" t="e">
        <f>+BD15/#REF!</f>
        <v>#REF!</v>
      </c>
      <c r="BF15" s="321"/>
      <c r="BG15" s="326" t="e">
        <f>+(#REF!+#REF!+#REF!)/(#REF!+#REF!+#REF!)-1</f>
        <v>#REF!</v>
      </c>
      <c r="BH15" s="327" t="e">
        <f>+BG15/#REF!</f>
        <v>#REF!</v>
      </c>
      <c r="BI15" s="328"/>
      <c r="BJ15" s="329"/>
      <c r="BL15" s="326" t="e">
        <f>+(#REF!+#REF!+#REF!)/(#REF!+#REF!+#REF!)-1</f>
        <v>#REF!</v>
      </c>
      <c r="BM15" s="327" t="e">
        <f>+BL15/#REF!</f>
        <v>#REF!</v>
      </c>
      <c r="BN15" s="321"/>
      <c r="BO15" s="326" t="e">
        <f>+(#REF!+#REF!+#REF!)/(#REF!+#REF!+#REF!)-1</f>
        <v>#REF!</v>
      </c>
      <c r="BP15" s="327" t="e">
        <f>+BO15/#REF!</f>
        <v>#REF!</v>
      </c>
      <c r="BQ15" s="321"/>
      <c r="BR15" s="326" t="e">
        <f>+(#REF!+#REF!+#REF!)/(#REF!+#REF!+#REF!)-1</f>
        <v>#REF!</v>
      </c>
      <c r="BS15" s="327" t="e">
        <f>+BR15/#REF!</f>
        <v>#REF!</v>
      </c>
      <c r="BT15" s="321"/>
      <c r="BU15" s="326" t="e">
        <f>+(#REF!+#REF!+#REF!)/(#REF!+#REF!+#REF!)-1</f>
        <v>#REF!</v>
      </c>
      <c r="BV15" s="327" t="e">
        <f>+BU15/#REF!</f>
        <v>#REF!</v>
      </c>
      <c r="BW15" s="328"/>
      <c r="BX15" s="329"/>
      <c r="BZ15" s="326" t="e">
        <f>+(#REF!+#REF!+#REF!)/(#REF!+#REF!+#REF!)-1</f>
        <v>#REF!</v>
      </c>
      <c r="CA15" s="327" t="e">
        <f>+BZ15/#REF!</f>
        <v>#REF!</v>
      </c>
      <c r="CB15" s="321"/>
      <c r="CC15" s="326" t="e">
        <f>+(#REF!+#REF!+#REF!)/(#REF!+#REF!+#REF!)-1</f>
        <v>#REF!</v>
      </c>
      <c r="CD15" s="327" t="e">
        <f>+CC15/#REF!</f>
        <v>#REF!</v>
      </c>
      <c r="CE15" s="321"/>
      <c r="CF15" s="326" t="e">
        <f>+(#REF!+#REF!+#REF!)/(#REF!+#REF!+#REF!)-1</f>
        <v>#REF!</v>
      </c>
      <c r="CG15" s="327" t="e">
        <f>+CF15/#REF!</f>
        <v>#REF!</v>
      </c>
      <c r="CH15" s="321"/>
      <c r="CI15" s="326" t="e">
        <f>+(#REF!+#REF!+#REF!)/(#REF!+#REF!+#REF!)-1</f>
        <v>#REF!</v>
      </c>
      <c r="CJ15" s="327" t="e">
        <f>+CI15/#REF!</f>
        <v>#REF!</v>
      </c>
      <c r="CK15" s="328"/>
      <c r="CL15" s="329"/>
    </row>
    <row r="16" spans="2:90" ht="15" customHeight="1" x14ac:dyDescent="0.2">
      <c r="B16" s="1177"/>
      <c r="C16" s="1140"/>
      <c r="D16" s="1163"/>
      <c r="E16" s="1146"/>
      <c r="F16" s="921" t="str">
        <f>+'Plan de Accion 2018'!R93</f>
        <v>Valor pagado / Valor programado</v>
      </c>
      <c r="G16" s="321"/>
      <c r="H16" s="776">
        <f>+'Plan de Accion 2018'!AA93</f>
        <v>0</v>
      </c>
      <c r="I16" s="777">
        <f>+'Plan de Accion 2018'!BM93</f>
        <v>0</v>
      </c>
      <c r="J16" s="777">
        <f>IF(I16&gt;100%,100%,I16)</f>
        <v>0</v>
      </c>
      <c r="K16" s="777">
        <f>+'Plan de Accion 2018'!AF93</f>
        <v>0</v>
      </c>
      <c r="L16" s="777">
        <f>IF(K16&gt;25%,25%,K16)</f>
        <v>0</v>
      </c>
      <c r="M16" s="1391">
        <f>+L16</f>
        <v>0</v>
      </c>
      <c r="N16" s="883"/>
      <c r="O16" s="776">
        <f>+'Plan de Accion 2018'!AK93</f>
        <v>0</v>
      </c>
      <c r="P16" s="777">
        <f>+'Plan de Accion 2018'!BO93</f>
        <v>0</v>
      </c>
      <c r="Q16" s="870">
        <f t="shared" ref="Q16:Q76" si="0">IF(P16&gt;100%,100%,P16)</f>
        <v>0</v>
      </c>
      <c r="R16" s="892">
        <f>+'Plan de Accion 2018'!AP93</f>
        <v>0</v>
      </c>
      <c r="S16" s="892">
        <f>IF(R16&gt;50%,50%,R16)</f>
        <v>0</v>
      </c>
      <c r="T16" s="878">
        <f t="shared" ref="T16:T76" si="1">+S16</f>
        <v>0</v>
      </c>
      <c r="U16" s="324"/>
      <c r="V16" s="776">
        <f>+'Plan de Accion 2018'!AU93</f>
        <v>0</v>
      </c>
      <c r="W16" s="777">
        <f>+'Plan de Accion 2018'!BQ93</f>
        <v>0</v>
      </c>
      <c r="X16" s="870">
        <f t="shared" ref="X16:X76" si="2">IF(W16&gt;100%,100%,W16)</f>
        <v>0</v>
      </c>
      <c r="Y16" s="777">
        <f>+'Plan de Accion 2018'!AZ93</f>
        <v>0</v>
      </c>
      <c r="Z16" s="892">
        <f>IF(Y16&gt;75%,75%,Y16)</f>
        <v>0</v>
      </c>
      <c r="AA16" s="878">
        <f t="shared" ref="AA16:AA79" si="3">+Z16</f>
        <v>0</v>
      </c>
      <c r="AB16" s="324"/>
      <c r="AC16" s="330">
        <f>+'Plan de Accion 2018'!BE93</f>
        <v>0</v>
      </c>
      <c r="AD16" s="331">
        <f>+'Plan de Accion 2018'!BS93</f>
        <v>0</v>
      </c>
      <c r="AE16" s="870">
        <f t="shared" ref="AE16:AE76" si="4">IF(AD16&gt;100%,100%,AD16)</f>
        <v>0</v>
      </c>
      <c r="AF16" s="777">
        <f>+'Plan de Accion 2018'!BJ93</f>
        <v>0</v>
      </c>
      <c r="AG16" s="878">
        <f t="shared" ref="AG16:AG76" si="5">IF(AF16&gt;100%,100%,AF16)</f>
        <v>0</v>
      </c>
      <c r="AH16" s="1118"/>
      <c r="AJ16" s="1126" t="e">
        <f>+#REF!</f>
        <v>#REF!</v>
      </c>
      <c r="AK16" s="1106" t="e">
        <f>+AJ16/AH17</f>
        <v>#REF!</v>
      </c>
      <c r="AL16" s="321"/>
      <c r="AM16" s="1136" t="e">
        <f>+(#REF!+#REF!)/2</f>
        <v>#REF!</v>
      </c>
      <c r="AN16" s="1106" t="e">
        <f>+AM16/AH17</f>
        <v>#REF!</v>
      </c>
      <c r="AO16" s="321"/>
      <c r="AP16" s="1126" t="e">
        <f>+#REF!</f>
        <v>#REF!</v>
      </c>
      <c r="AQ16" s="1106" t="e">
        <f>+AP16/AH17</f>
        <v>#REF!</v>
      </c>
      <c r="AR16" s="321"/>
      <c r="AS16" s="1126" t="e">
        <f>+(#REF!+#REF!)/2</f>
        <v>#REF!</v>
      </c>
      <c r="AT16" s="1106" t="e">
        <f>+AS16/AH17</f>
        <v>#REF!</v>
      </c>
      <c r="AU16" s="328"/>
      <c r="AV16" s="1115"/>
      <c r="AX16" s="1126" t="e">
        <f>+#REF!</f>
        <v>#REF!</v>
      </c>
      <c r="AY16" s="1106" t="e">
        <f>+AX16/AV17</f>
        <v>#REF!</v>
      </c>
      <c r="AZ16" s="321"/>
      <c r="BA16" s="1136" t="e">
        <f>+(#REF!+#REF!)/2</f>
        <v>#REF!</v>
      </c>
      <c r="BB16" s="1106" t="e">
        <f>+BA16/AV17</f>
        <v>#REF!</v>
      </c>
      <c r="BC16" s="321"/>
      <c r="BD16" s="1126" t="e">
        <f>+#REF!</f>
        <v>#REF!</v>
      </c>
      <c r="BE16" s="1106" t="e">
        <f>+BD16/AV17</f>
        <v>#REF!</v>
      </c>
      <c r="BF16" s="321"/>
      <c r="BG16" s="1126" t="e">
        <f>+(#REF!+#REF!)/2</f>
        <v>#REF!</v>
      </c>
      <c r="BH16" s="1106" t="e">
        <f>+BG16/AV17</f>
        <v>#REF!</v>
      </c>
      <c r="BI16" s="328"/>
      <c r="BJ16" s="1115"/>
      <c r="BL16" s="1126" t="e">
        <f>+#REF!</f>
        <v>#REF!</v>
      </c>
      <c r="BM16" s="1106" t="e">
        <f>+BL16/BJ17</f>
        <v>#REF!</v>
      </c>
      <c r="BN16" s="321"/>
      <c r="BO16" s="1136" t="e">
        <f>+(#REF!+#REF!)/2</f>
        <v>#REF!</v>
      </c>
      <c r="BP16" s="1106" t="e">
        <f>+BO16/BJ17</f>
        <v>#REF!</v>
      </c>
      <c r="BQ16" s="321"/>
      <c r="BR16" s="1126" t="e">
        <f>+#REF!</f>
        <v>#REF!</v>
      </c>
      <c r="BS16" s="1106" t="e">
        <f>+BR16/BJ17</f>
        <v>#REF!</v>
      </c>
      <c r="BT16" s="321"/>
      <c r="BU16" s="1126" t="e">
        <f>+(#REF!+#REF!)/2</f>
        <v>#REF!</v>
      </c>
      <c r="BV16" s="1106" t="e">
        <f>+BU16/BJ17</f>
        <v>#REF!</v>
      </c>
      <c r="BW16" s="328"/>
      <c r="BX16" s="1115"/>
      <c r="BZ16" s="1126" t="e">
        <f>+#REF!</f>
        <v>#REF!</v>
      </c>
      <c r="CA16" s="1106" t="e">
        <f>+BZ16/BX17</f>
        <v>#REF!</v>
      </c>
      <c r="CB16" s="321"/>
      <c r="CC16" s="1136" t="e">
        <f>+(#REF!+#REF!)/2</f>
        <v>#REF!</v>
      </c>
      <c r="CD16" s="1106" t="e">
        <f>+CC16/BX17</f>
        <v>#REF!</v>
      </c>
      <c r="CE16" s="321"/>
      <c r="CF16" s="1126" t="e">
        <f>+#REF!</f>
        <v>#REF!</v>
      </c>
      <c r="CG16" s="1106" t="e">
        <f>+CF16/BX17</f>
        <v>#REF!</v>
      </c>
      <c r="CH16" s="321"/>
      <c r="CI16" s="1126" t="e">
        <f>+(#REF!+#REF!)/2</f>
        <v>#REF!</v>
      </c>
      <c r="CJ16" s="1106" t="e">
        <f>+CI16/BX17</f>
        <v>#REF!</v>
      </c>
      <c r="CK16" s="328"/>
      <c r="CL16" s="1115"/>
    </row>
    <row r="17" spans="2:90" ht="28.5" x14ac:dyDescent="0.2">
      <c r="B17" s="1177"/>
      <c r="C17" s="1140"/>
      <c r="D17" s="1163"/>
      <c r="E17" s="1146"/>
      <c r="F17" s="921" t="str">
        <f>+'Plan de Accion 2018'!R94</f>
        <v>Valor pagado / Valor programado</v>
      </c>
      <c r="G17" s="321"/>
      <c r="H17" s="776">
        <f>+'Plan de Accion 2018'!AA94</f>
        <v>0</v>
      </c>
      <c r="I17" s="777">
        <f>+'Plan de Accion 2018'!BM94</f>
        <v>0</v>
      </c>
      <c r="J17" s="777">
        <f t="shared" ref="J17:J80" si="6">IF(I17&gt;100%,100%,I17)</f>
        <v>0</v>
      </c>
      <c r="K17" s="777">
        <f>+'Plan de Accion 2018'!AF94</f>
        <v>0</v>
      </c>
      <c r="L17" s="777">
        <f t="shared" ref="L17:L80" si="7">IF(K17&gt;25%,25%,K17)</f>
        <v>0</v>
      </c>
      <c r="M17" s="1391">
        <f t="shared" ref="M17:M80" si="8">+L17</f>
        <v>0</v>
      </c>
      <c r="N17" s="883"/>
      <c r="O17" s="776">
        <f>+'Plan de Accion 2018'!AK94</f>
        <v>0</v>
      </c>
      <c r="P17" s="777">
        <f>+'Plan de Accion 2018'!BO94</f>
        <v>0</v>
      </c>
      <c r="Q17" s="870">
        <f t="shared" si="0"/>
        <v>0</v>
      </c>
      <c r="R17" s="892">
        <f>+'Plan de Accion 2018'!AP94</f>
        <v>0</v>
      </c>
      <c r="S17" s="892">
        <f t="shared" ref="S17:S76" si="9">IF(R17&gt;50%,50%,R17)</f>
        <v>0</v>
      </c>
      <c r="T17" s="878">
        <f t="shared" si="1"/>
        <v>0</v>
      </c>
      <c r="U17" s="324"/>
      <c r="V17" s="776">
        <f>+'Plan de Accion 2018'!AU94</f>
        <v>0</v>
      </c>
      <c r="W17" s="777">
        <f>+'Plan de Accion 2018'!BQ94</f>
        <v>0</v>
      </c>
      <c r="X17" s="870">
        <f t="shared" si="2"/>
        <v>0</v>
      </c>
      <c r="Y17" s="777">
        <f>+'Plan de Accion 2018'!AZ94</f>
        <v>0</v>
      </c>
      <c r="Z17" s="892">
        <f>IF(Y17&gt;75%,75%,Y17)</f>
        <v>0</v>
      </c>
      <c r="AA17" s="878">
        <f t="shared" si="3"/>
        <v>0</v>
      </c>
      <c r="AB17" s="324"/>
      <c r="AC17" s="330">
        <f>+'Plan de Accion 2018'!BE94</f>
        <v>0</v>
      </c>
      <c r="AD17" s="331">
        <f>+'Plan de Accion 2018'!BS94</f>
        <v>0</v>
      </c>
      <c r="AE17" s="870">
        <f t="shared" si="4"/>
        <v>0</v>
      </c>
      <c r="AF17" s="777">
        <f>+'Plan de Accion 2018'!BJ94</f>
        <v>0</v>
      </c>
      <c r="AG17" s="878">
        <f t="shared" si="5"/>
        <v>0</v>
      </c>
      <c r="AH17" s="1119"/>
      <c r="AJ17" s="1127"/>
      <c r="AK17" s="1107"/>
      <c r="AL17" s="321"/>
      <c r="AM17" s="1137"/>
      <c r="AN17" s="1107"/>
      <c r="AO17" s="321"/>
      <c r="AP17" s="1127"/>
      <c r="AQ17" s="1107"/>
      <c r="AR17" s="321"/>
      <c r="AS17" s="1127"/>
      <c r="AT17" s="1107"/>
      <c r="AU17" s="328"/>
      <c r="AV17" s="1116"/>
      <c r="AX17" s="1127"/>
      <c r="AY17" s="1107"/>
      <c r="AZ17" s="321"/>
      <c r="BA17" s="1137"/>
      <c r="BB17" s="1107"/>
      <c r="BC17" s="321"/>
      <c r="BD17" s="1127"/>
      <c r="BE17" s="1107"/>
      <c r="BF17" s="321"/>
      <c r="BG17" s="1127"/>
      <c r="BH17" s="1107"/>
      <c r="BI17" s="328"/>
      <c r="BJ17" s="1116"/>
      <c r="BL17" s="1127"/>
      <c r="BM17" s="1107"/>
      <c r="BN17" s="321"/>
      <c r="BO17" s="1137"/>
      <c r="BP17" s="1107"/>
      <c r="BQ17" s="321"/>
      <c r="BR17" s="1127"/>
      <c r="BS17" s="1107"/>
      <c r="BT17" s="321"/>
      <c r="BU17" s="1127"/>
      <c r="BV17" s="1107"/>
      <c r="BW17" s="328"/>
      <c r="BX17" s="1116"/>
      <c r="BZ17" s="1127"/>
      <c r="CA17" s="1107"/>
      <c r="CB17" s="321"/>
      <c r="CC17" s="1137"/>
      <c r="CD17" s="1107"/>
      <c r="CE17" s="321"/>
      <c r="CF17" s="1127"/>
      <c r="CG17" s="1107"/>
      <c r="CH17" s="321"/>
      <c r="CI17" s="1127"/>
      <c r="CJ17" s="1107"/>
      <c r="CK17" s="328"/>
      <c r="CL17" s="1116"/>
    </row>
    <row r="18" spans="2:90" ht="28.5" x14ac:dyDescent="0.2">
      <c r="B18" s="1177"/>
      <c r="C18" s="1140"/>
      <c r="D18" s="332" t="str">
        <f>+'Plan de Accion 2018'!F145</f>
        <v>Estudio de seguridad hojas de vida</v>
      </c>
      <c r="E18" s="1146"/>
      <c r="F18" s="921" t="str">
        <f>+'Plan de Accion 2018'!R145</f>
        <v>Valor pagado / Valor programado</v>
      </c>
      <c r="G18" s="321"/>
      <c r="H18" s="776">
        <f>+'Plan de Accion 2018'!AA145</f>
        <v>7.8399999999999997E-2</v>
      </c>
      <c r="I18" s="777">
        <f>+'Plan de Accion 2018'!BM145</f>
        <v>0.31359999999999999</v>
      </c>
      <c r="J18" s="777">
        <f t="shared" si="6"/>
        <v>0.31359999999999999</v>
      </c>
      <c r="K18" s="777">
        <f>+'Plan de Accion 2018'!AF145</f>
        <v>7.8399999999999997E-2</v>
      </c>
      <c r="L18" s="777">
        <f t="shared" si="7"/>
        <v>7.8399999999999997E-2</v>
      </c>
      <c r="M18" s="1391">
        <f t="shared" si="8"/>
        <v>7.8399999999999997E-2</v>
      </c>
      <c r="N18" s="883"/>
      <c r="O18" s="776">
        <f>+'Plan de Accion 2018'!AK145</f>
        <v>0</v>
      </c>
      <c r="P18" s="777">
        <f>+'Plan de Accion 2018'!BO145</f>
        <v>0</v>
      </c>
      <c r="Q18" s="870">
        <f t="shared" si="0"/>
        <v>0</v>
      </c>
      <c r="R18" s="892">
        <f>+'Plan de Accion 2018'!AP145</f>
        <v>7.8399999999999997E-2</v>
      </c>
      <c r="S18" s="892">
        <f t="shared" si="9"/>
        <v>7.8399999999999997E-2</v>
      </c>
      <c r="T18" s="878">
        <f t="shared" si="1"/>
        <v>7.8399999999999997E-2</v>
      </c>
      <c r="U18" s="324"/>
      <c r="V18" s="776">
        <f>+'Plan de Accion 2018'!AU145</f>
        <v>0</v>
      </c>
      <c r="W18" s="777">
        <f>+'Plan de Accion 2018'!BQ145</f>
        <v>0</v>
      </c>
      <c r="X18" s="870">
        <f t="shared" si="2"/>
        <v>0</v>
      </c>
      <c r="Y18" s="777">
        <f>+'Plan de Accion 2018'!AZ145</f>
        <v>7.8399999999999997E-2</v>
      </c>
      <c r="Z18" s="892">
        <f t="shared" ref="Z18:Z36" si="10">IF(Y18&gt;75%,75%,Y18)</f>
        <v>7.8399999999999997E-2</v>
      </c>
      <c r="AA18" s="878">
        <f t="shared" si="3"/>
        <v>7.8399999999999997E-2</v>
      </c>
      <c r="AB18" s="324"/>
      <c r="AC18" s="330">
        <f>+'Plan de Accion 2018'!BE145</f>
        <v>0</v>
      </c>
      <c r="AD18" s="331">
        <f>+'Plan de Accion 2018'!BS145</f>
        <v>0</v>
      </c>
      <c r="AE18" s="870">
        <f t="shared" si="4"/>
        <v>0</v>
      </c>
      <c r="AF18" s="777">
        <f>+'Plan de Accion 2018'!BJ145</f>
        <v>7.8399999999999997E-2</v>
      </c>
      <c r="AG18" s="878">
        <f t="shared" si="5"/>
        <v>7.8399999999999997E-2</v>
      </c>
      <c r="AH18" s="1119"/>
      <c r="AJ18" s="1127"/>
      <c r="AK18" s="1107"/>
      <c r="AL18" s="321"/>
      <c r="AM18" s="1137"/>
      <c r="AN18" s="1107"/>
      <c r="AO18" s="321"/>
      <c r="AP18" s="1127"/>
      <c r="AQ18" s="1107"/>
      <c r="AR18" s="321"/>
      <c r="AS18" s="1127"/>
      <c r="AT18" s="1107"/>
      <c r="AU18" s="328"/>
      <c r="AV18" s="1116"/>
      <c r="AX18" s="1127"/>
      <c r="AY18" s="1107"/>
      <c r="AZ18" s="321"/>
      <c r="BA18" s="1137"/>
      <c r="BB18" s="1107"/>
      <c r="BC18" s="321"/>
      <c r="BD18" s="1127"/>
      <c r="BE18" s="1107"/>
      <c r="BF18" s="321"/>
      <c r="BG18" s="1127"/>
      <c r="BH18" s="1107"/>
      <c r="BI18" s="328"/>
      <c r="BJ18" s="1116"/>
      <c r="BL18" s="1127"/>
      <c r="BM18" s="1107"/>
      <c r="BN18" s="321"/>
      <c r="BO18" s="1137"/>
      <c r="BP18" s="1107"/>
      <c r="BQ18" s="321"/>
      <c r="BR18" s="1127"/>
      <c r="BS18" s="1107"/>
      <c r="BT18" s="321"/>
      <c r="BU18" s="1127"/>
      <c r="BV18" s="1107"/>
      <c r="BW18" s="328"/>
      <c r="BX18" s="1116"/>
      <c r="BZ18" s="1127"/>
      <c r="CA18" s="1107"/>
      <c r="CB18" s="321"/>
      <c r="CC18" s="1137"/>
      <c r="CD18" s="1107"/>
      <c r="CE18" s="321"/>
      <c r="CF18" s="1127"/>
      <c r="CG18" s="1107"/>
      <c r="CH18" s="321"/>
      <c r="CI18" s="1127"/>
      <c r="CJ18" s="1107"/>
      <c r="CK18" s="328"/>
      <c r="CL18" s="1116"/>
    </row>
    <row r="19" spans="2:90" ht="42.75" x14ac:dyDescent="0.2">
      <c r="B19" s="1177"/>
      <c r="C19" s="1140"/>
      <c r="D19" s="332" t="str">
        <f>+'Plan de Accion 2018'!F103</f>
        <v>Salud Ocupacional</v>
      </c>
      <c r="E19" s="1146"/>
      <c r="F19" s="333" t="str">
        <f>+'Plan de Accion 2018'!R103</f>
        <v>Ejecución del Trimestre / Presupuesto Proyectado del Trimestre</v>
      </c>
      <c r="G19" s="321"/>
      <c r="H19" s="776">
        <f>+'Plan de Accion 2018'!AA103</f>
        <v>8.2317134218377691E-2</v>
      </c>
      <c r="I19" s="777">
        <f>+'Plan de Accion 2018'!BM103</f>
        <v>0.32926853687351076</v>
      </c>
      <c r="J19" s="777">
        <f t="shared" si="6"/>
        <v>0.32926853687351076</v>
      </c>
      <c r="K19" s="777">
        <f>+'Plan de Accion 2018'!AF103</f>
        <v>8.2317134218377691E-2</v>
      </c>
      <c r="L19" s="777">
        <f t="shared" si="7"/>
        <v>8.2317134218377691E-2</v>
      </c>
      <c r="M19" s="1391">
        <f t="shared" si="8"/>
        <v>8.2317134218377691E-2</v>
      </c>
      <c r="N19" s="883"/>
      <c r="O19" s="776">
        <f>+'Plan de Accion 2018'!AK103</f>
        <v>0.1480496986444004</v>
      </c>
      <c r="P19" s="777">
        <f>+'Plan de Accion 2018'!BO103</f>
        <v>0.59219879457760161</v>
      </c>
      <c r="Q19" s="870">
        <f t="shared" si="0"/>
        <v>0.59219879457760161</v>
      </c>
      <c r="R19" s="892">
        <f>+'Plan de Accion 2018'!AP103</f>
        <v>0.23036683286277806</v>
      </c>
      <c r="S19" s="892">
        <f t="shared" si="9"/>
        <v>0.23036683286277806</v>
      </c>
      <c r="T19" s="878">
        <f t="shared" si="1"/>
        <v>0.23036683286277806</v>
      </c>
      <c r="U19" s="324"/>
      <c r="V19" s="776">
        <f>+'Plan de Accion 2018'!AU103</f>
        <v>0</v>
      </c>
      <c r="W19" s="777">
        <f>+'Plan de Accion 2018'!BQ103</f>
        <v>0</v>
      </c>
      <c r="X19" s="870">
        <f t="shared" si="2"/>
        <v>0</v>
      </c>
      <c r="Y19" s="777">
        <f>+'Plan de Accion 2018'!AZ103</f>
        <v>0.23036683286277806</v>
      </c>
      <c r="Z19" s="892">
        <f t="shared" si="10"/>
        <v>0.23036683286277806</v>
      </c>
      <c r="AA19" s="878">
        <f t="shared" si="3"/>
        <v>0.23036683286277806</v>
      </c>
      <c r="AB19" s="324"/>
      <c r="AC19" s="330">
        <f>+'Plan de Accion 2018'!BE103</f>
        <v>0</v>
      </c>
      <c r="AD19" s="331">
        <f>+'Plan de Accion 2018'!BS103</f>
        <v>0</v>
      </c>
      <c r="AE19" s="870">
        <f t="shared" si="4"/>
        <v>0</v>
      </c>
      <c r="AF19" s="777">
        <f>+'Plan de Accion 2018'!BJ103</f>
        <v>0.23036683286277806</v>
      </c>
      <c r="AG19" s="878">
        <f t="shared" si="5"/>
        <v>0.23036683286277806</v>
      </c>
      <c r="AH19" s="1119"/>
      <c r="AJ19" s="1127"/>
      <c r="AK19" s="1107"/>
      <c r="AL19" s="321"/>
      <c r="AM19" s="1137"/>
      <c r="AN19" s="1107"/>
      <c r="AO19" s="321"/>
      <c r="AP19" s="1127"/>
      <c r="AQ19" s="1107"/>
      <c r="AR19" s="321"/>
      <c r="AS19" s="1127"/>
      <c r="AT19" s="1107"/>
      <c r="AU19" s="328"/>
      <c r="AV19" s="1116"/>
      <c r="AX19" s="1127"/>
      <c r="AY19" s="1107"/>
      <c r="AZ19" s="321"/>
      <c r="BA19" s="1137"/>
      <c r="BB19" s="1107"/>
      <c r="BC19" s="321"/>
      <c r="BD19" s="1127"/>
      <c r="BE19" s="1107"/>
      <c r="BF19" s="321"/>
      <c r="BG19" s="1127"/>
      <c r="BH19" s="1107"/>
      <c r="BI19" s="328"/>
      <c r="BJ19" s="1116"/>
      <c r="BL19" s="1127"/>
      <c r="BM19" s="1107"/>
      <c r="BN19" s="321"/>
      <c r="BO19" s="1137"/>
      <c r="BP19" s="1107"/>
      <c r="BQ19" s="321"/>
      <c r="BR19" s="1127"/>
      <c r="BS19" s="1107"/>
      <c r="BT19" s="321"/>
      <c r="BU19" s="1127"/>
      <c r="BV19" s="1107"/>
      <c r="BW19" s="328"/>
      <c r="BX19" s="1116"/>
      <c r="BZ19" s="1127"/>
      <c r="CA19" s="1107"/>
      <c r="CB19" s="321"/>
      <c r="CC19" s="1137"/>
      <c r="CD19" s="1107"/>
      <c r="CE19" s="321"/>
      <c r="CF19" s="1127"/>
      <c r="CG19" s="1107"/>
      <c r="CH19" s="321"/>
      <c r="CI19" s="1127"/>
      <c r="CJ19" s="1107"/>
      <c r="CK19" s="328"/>
      <c r="CL19" s="1116"/>
    </row>
    <row r="20" spans="2:90" ht="28.5" x14ac:dyDescent="0.2">
      <c r="B20" s="1177"/>
      <c r="C20" s="1140"/>
      <c r="D20" s="332" t="str">
        <f>+'Plan de Accion 2018'!F108</f>
        <v>Funcionamiento Operativo de la ADRES</v>
      </c>
      <c r="E20" s="1146"/>
      <c r="F20" s="333" t="str">
        <f>+'Plan de Accion 2018'!R108</f>
        <v>Valor pagado / Valor programado</v>
      </c>
      <c r="G20" s="321"/>
      <c r="H20" s="776">
        <f>+'Plan de Accion 2018'!AA108</f>
        <v>0.18953582796273838</v>
      </c>
      <c r="I20" s="777">
        <f>+'Plan de Accion 2018'!BM108</f>
        <v>0.9476791398136919</v>
      </c>
      <c r="J20" s="777">
        <f t="shared" si="6"/>
        <v>0.9476791398136919</v>
      </c>
      <c r="K20" s="777">
        <f>+'Plan de Accion 2018'!AF108</f>
        <v>0.18953582796273838</v>
      </c>
      <c r="L20" s="777">
        <f t="shared" si="7"/>
        <v>0.18953582796273838</v>
      </c>
      <c r="M20" s="1391">
        <f t="shared" si="8"/>
        <v>0.18953582796273838</v>
      </c>
      <c r="N20" s="883"/>
      <c r="O20" s="776">
        <f>+'Plan de Accion 2018'!AK108</f>
        <v>0.21532253711227273</v>
      </c>
      <c r="P20" s="777">
        <f>+'Plan de Accion 2018'!BO108</f>
        <v>1.0766126855613636</v>
      </c>
      <c r="Q20" s="870">
        <f t="shared" si="0"/>
        <v>1</v>
      </c>
      <c r="R20" s="892">
        <f>+'Plan de Accion 2018'!AP108</f>
        <v>0.40039111311824749</v>
      </c>
      <c r="S20" s="892">
        <f t="shared" si="9"/>
        <v>0.40039111311824749</v>
      </c>
      <c r="T20" s="878">
        <f t="shared" si="1"/>
        <v>0.40039111311824749</v>
      </c>
      <c r="U20" s="883">
        <v>1</v>
      </c>
      <c r="V20" s="776">
        <f>+'Plan de Accion 2018'!AU108</f>
        <v>0</v>
      </c>
      <c r="W20" s="777">
        <f>+'Plan de Accion 2018'!BQ108</f>
        <v>0</v>
      </c>
      <c r="X20" s="870">
        <f t="shared" si="2"/>
        <v>0</v>
      </c>
      <c r="Y20" s="777">
        <f>+'Plan de Accion 2018'!AZ108</f>
        <v>0.40039111311824749</v>
      </c>
      <c r="Z20" s="892">
        <f t="shared" si="10"/>
        <v>0.40039111311824749</v>
      </c>
      <c r="AA20" s="878">
        <f t="shared" si="3"/>
        <v>0.40039111311824749</v>
      </c>
      <c r="AB20" s="324"/>
      <c r="AC20" s="330">
        <f>+'Plan de Accion 2018'!BE108</f>
        <v>0</v>
      </c>
      <c r="AD20" s="331">
        <f>+'Plan de Accion 2018'!BS108</f>
        <v>0</v>
      </c>
      <c r="AE20" s="870">
        <f t="shared" si="4"/>
        <v>0</v>
      </c>
      <c r="AF20" s="777">
        <f>+'Plan de Accion 2018'!BJ108</f>
        <v>0.40039111311824749</v>
      </c>
      <c r="AG20" s="878">
        <f t="shared" si="5"/>
        <v>0.40039111311824749</v>
      </c>
      <c r="AH20" s="1119"/>
      <c r="AJ20" s="1127"/>
      <c r="AK20" s="1107"/>
      <c r="AL20" s="321"/>
      <c r="AM20" s="1137"/>
      <c r="AN20" s="1107"/>
      <c r="AO20" s="321"/>
      <c r="AP20" s="1127"/>
      <c r="AQ20" s="1107"/>
      <c r="AR20" s="321"/>
      <c r="AS20" s="1127"/>
      <c r="AT20" s="1107"/>
      <c r="AU20" s="328"/>
      <c r="AV20" s="1116"/>
      <c r="AX20" s="1127"/>
      <c r="AY20" s="1107"/>
      <c r="AZ20" s="321"/>
      <c r="BA20" s="1137"/>
      <c r="BB20" s="1107"/>
      <c r="BC20" s="321"/>
      <c r="BD20" s="1127"/>
      <c r="BE20" s="1107"/>
      <c r="BF20" s="321"/>
      <c r="BG20" s="1127"/>
      <c r="BH20" s="1107"/>
      <c r="BI20" s="328"/>
      <c r="BJ20" s="1116"/>
      <c r="BL20" s="1127"/>
      <c r="BM20" s="1107"/>
      <c r="BN20" s="321"/>
      <c r="BO20" s="1137"/>
      <c r="BP20" s="1107"/>
      <c r="BQ20" s="321"/>
      <c r="BR20" s="1127"/>
      <c r="BS20" s="1107"/>
      <c r="BT20" s="321"/>
      <c r="BU20" s="1127"/>
      <c r="BV20" s="1107"/>
      <c r="BW20" s="328"/>
      <c r="BX20" s="1116"/>
      <c r="BZ20" s="1127"/>
      <c r="CA20" s="1107"/>
      <c r="CB20" s="321"/>
      <c r="CC20" s="1137"/>
      <c r="CD20" s="1107"/>
      <c r="CE20" s="321"/>
      <c r="CF20" s="1127"/>
      <c r="CG20" s="1107"/>
      <c r="CH20" s="321"/>
      <c r="CI20" s="1127"/>
      <c r="CJ20" s="1107"/>
      <c r="CK20" s="328"/>
      <c r="CL20" s="1116"/>
    </row>
    <row r="21" spans="2:90" ht="28.5" x14ac:dyDescent="0.2">
      <c r="B21" s="1177"/>
      <c r="C21" s="1140"/>
      <c r="D21" s="332" t="str">
        <f>+'Plan de Accion 2018'!F109</f>
        <v xml:space="preserve">Suministro de Tiquetes Aéreos y Viatico </v>
      </c>
      <c r="E21" s="1146"/>
      <c r="F21" s="333" t="str">
        <f>+'Plan de Accion 2018'!R109</f>
        <v>Valor pagado / Valor programado</v>
      </c>
      <c r="G21" s="321"/>
      <c r="H21" s="776">
        <f>+'Plan de Accion 2018'!AA109</f>
        <v>2.8526488808374856E-2</v>
      </c>
      <c r="I21" s="777">
        <f>+'Plan de Accion 2018'!BM109</f>
        <v>0.11410595523349942</v>
      </c>
      <c r="J21" s="777">
        <f t="shared" si="6"/>
        <v>0.11410595523349942</v>
      </c>
      <c r="K21" s="777">
        <f>+'Plan de Accion 2018'!AF109</f>
        <v>2.8526488808374856E-2</v>
      </c>
      <c r="L21" s="777">
        <f t="shared" si="7"/>
        <v>2.8526488808374856E-2</v>
      </c>
      <c r="M21" s="1391">
        <f t="shared" si="8"/>
        <v>2.8526488808374856E-2</v>
      </c>
      <c r="N21" s="883"/>
      <c r="O21" s="776">
        <f>+'Plan de Accion 2018'!AK109</f>
        <v>6.3398401763759604E-2</v>
      </c>
      <c r="P21" s="777">
        <f>+'Plan de Accion 2018'!BO109</f>
        <v>0.25359360705503842</v>
      </c>
      <c r="Q21" s="870">
        <f t="shared" si="0"/>
        <v>0.25359360705503842</v>
      </c>
      <c r="R21" s="892">
        <f>+'Plan de Accion 2018'!AP109</f>
        <v>9.192489057213446E-2</v>
      </c>
      <c r="S21" s="892">
        <f t="shared" si="9"/>
        <v>9.192489057213446E-2</v>
      </c>
      <c r="T21" s="878">
        <f t="shared" si="1"/>
        <v>9.192489057213446E-2</v>
      </c>
      <c r="U21" s="324"/>
      <c r="V21" s="776">
        <f>+'Plan de Accion 2018'!AU109</f>
        <v>0</v>
      </c>
      <c r="W21" s="777">
        <f>+'Plan de Accion 2018'!BQ109</f>
        <v>0</v>
      </c>
      <c r="X21" s="870">
        <f t="shared" si="2"/>
        <v>0</v>
      </c>
      <c r="Y21" s="777">
        <f>+'Plan de Accion 2018'!AZ109</f>
        <v>9.192489057213446E-2</v>
      </c>
      <c r="Z21" s="892">
        <f t="shared" si="10"/>
        <v>9.192489057213446E-2</v>
      </c>
      <c r="AA21" s="878">
        <f t="shared" si="3"/>
        <v>9.192489057213446E-2</v>
      </c>
      <c r="AB21" s="324"/>
      <c r="AC21" s="330">
        <f>+'Plan de Accion 2018'!BE109</f>
        <v>0</v>
      </c>
      <c r="AD21" s="331">
        <f>+'Plan de Accion 2018'!BS109</f>
        <v>0</v>
      </c>
      <c r="AE21" s="870">
        <f t="shared" si="4"/>
        <v>0</v>
      </c>
      <c r="AF21" s="777">
        <f>+'Plan de Accion 2018'!BJ109</f>
        <v>9.192489057213446E-2</v>
      </c>
      <c r="AG21" s="878">
        <f t="shared" si="5"/>
        <v>9.192489057213446E-2</v>
      </c>
      <c r="AH21" s="1119"/>
      <c r="AJ21" s="1127"/>
      <c r="AK21" s="1107"/>
      <c r="AL21" s="321"/>
      <c r="AM21" s="1137"/>
      <c r="AN21" s="1107"/>
      <c r="AO21" s="321"/>
      <c r="AP21" s="1127"/>
      <c r="AQ21" s="1107"/>
      <c r="AR21" s="321"/>
      <c r="AS21" s="1127"/>
      <c r="AT21" s="1107"/>
      <c r="AU21" s="328"/>
      <c r="AV21" s="1116"/>
      <c r="AX21" s="1127"/>
      <c r="AY21" s="1107"/>
      <c r="AZ21" s="321"/>
      <c r="BA21" s="1137"/>
      <c r="BB21" s="1107"/>
      <c r="BC21" s="321"/>
      <c r="BD21" s="1127"/>
      <c r="BE21" s="1107"/>
      <c r="BF21" s="321"/>
      <c r="BG21" s="1127"/>
      <c r="BH21" s="1107"/>
      <c r="BI21" s="328"/>
      <c r="BJ21" s="1116"/>
      <c r="BL21" s="1127"/>
      <c r="BM21" s="1107"/>
      <c r="BN21" s="321"/>
      <c r="BO21" s="1137"/>
      <c r="BP21" s="1107"/>
      <c r="BQ21" s="321"/>
      <c r="BR21" s="1127"/>
      <c r="BS21" s="1107"/>
      <c r="BT21" s="321"/>
      <c r="BU21" s="1127"/>
      <c r="BV21" s="1107"/>
      <c r="BW21" s="328"/>
      <c r="BX21" s="1116"/>
      <c r="BZ21" s="1127"/>
      <c r="CA21" s="1107"/>
      <c r="CB21" s="321"/>
      <c r="CC21" s="1137"/>
      <c r="CD21" s="1107"/>
      <c r="CE21" s="321"/>
      <c r="CF21" s="1127"/>
      <c r="CG21" s="1107"/>
      <c r="CH21" s="321"/>
      <c r="CI21" s="1127"/>
      <c r="CJ21" s="1107"/>
      <c r="CK21" s="328"/>
      <c r="CL21" s="1116"/>
    </row>
    <row r="22" spans="2:90" ht="57" customHeight="1" x14ac:dyDescent="0.2">
      <c r="B22" s="1177"/>
      <c r="C22" s="1140"/>
      <c r="D22" s="332" t="str">
        <f>+'Plan de Accion 2018'!F112</f>
        <v xml:space="preserve">Garantizar la gestión de Servicio al ciudadano de la entidad  por los diferentes canales  de atención.. </v>
      </c>
      <c r="E22" s="1146"/>
      <c r="F22" s="1213" t="s">
        <v>815</v>
      </c>
      <c r="G22" s="321"/>
      <c r="H22" s="776">
        <f>+'Plan de Accion 2018'!AD112</f>
        <v>0.74537312091503272</v>
      </c>
      <c r="I22" s="777">
        <f>+'Plan de Accion 2018'!BM112</f>
        <v>0.74537312091503272</v>
      </c>
      <c r="J22" s="777">
        <f t="shared" si="6"/>
        <v>0.74537312091503272</v>
      </c>
      <c r="K22" s="777">
        <f>+'Plan de Accion 2018'!AF112</f>
        <v>0.18634328022875818</v>
      </c>
      <c r="L22" s="777">
        <f t="shared" si="7"/>
        <v>0.18634328022875818</v>
      </c>
      <c r="M22" s="1391">
        <f t="shared" si="8"/>
        <v>0.18634328022875818</v>
      </c>
      <c r="N22" s="883"/>
      <c r="O22" s="776">
        <f>+'Plan de Accion 2018'!AN112</f>
        <v>1</v>
      </c>
      <c r="P22" s="777">
        <f>+'Plan de Accion 2018'!BO112</f>
        <v>1</v>
      </c>
      <c r="Q22" s="870">
        <f t="shared" si="0"/>
        <v>1</v>
      </c>
      <c r="R22" s="892">
        <f>+'Plan de Accion 2018'!AP112</f>
        <v>0.43634328022875818</v>
      </c>
      <c r="S22" s="892">
        <f t="shared" si="9"/>
        <v>0.43634328022875818</v>
      </c>
      <c r="T22" s="878">
        <f t="shared" si="1"/>
        <v>0.43634328022875818</v>
      </c>
      <c r="U22" s="324"/>
      <c r="V22" s="776">
        <f>+'Plan de Accion 2018'!AU112</f>
        <v>0</v>
      </c>
      <c r="W22" s="777">
        <f>+'Plan de Accion 2018'!BQ112</f>
        <v>0</v>
      </c>
      <c r="X22" s="870">
        <f t="shared" si="2"/>
        <v>0</v>
      </c>
      <c r="Y22" s="777">
        <f>+'Plan de Accion 2018'!AZ112</f>
        <v>0.43634328022875818</v>
      </c>
      <c r="Z22" s="892">
        <f t="shared" si="10"/>
        <v>0.43634328022875818</v>
      </c>
      <c r="AA22" s="878">
        <f t="shared" si="3"/>
        <v>0.43634328022875818</v>
      </c>
      <c r="AB22" s="324"/>
      <c r="AC22" s="330">
        <f>+'Plan de Accion 2018'!BE112</f>
        <v>0</v>
      </c>
      <c r="AD22" s="331">
        <f>+'Plan de Accion 2018'!BS112</f>
        <v>0</v>
      </c>
      <c r="AE22" s="870">
        <f t="shared" si="4"/>
        <v>0</v>
      </c>
      <c r="AF22" s="777">
        <f>+'Plan de Accion 2018'!BJ112</f>
        <v>0.43634328022875818</v>
      </c>
      <c r="AG22" s="878">
        <f t="shared" si="5"/>
        <v>0.43634328022875818</v>
      </c>
      <c r="AH22" s="1119"/>
      <c r="AJ22" s="1127"/>
      <c r="AK22" s="1107"/>
      <c r="AL22" s="321"/>
      <c r="AM22" s="1137"/>
      <c r="AN22" s="1107"/>
      <c r="AO22" s="321"/>
      <c r="AP22" s="1127"/>
      <c r="AQ22" s="1107"/>
      <c r="AR22" s="321"/>
      <c r="AS22" s="1127"/>
      <c r="AT22" s="1107"/>
      <c r="AU22" s="328"/>
      <c r="AV22" s="1116"/>
      <c r="AX22" s="1127"/>
      <c r="AY22" s="1107"/>
      <c r="AZ22" s="321"/>
      <c r="BA22" s="1137"/>
      <c r="BB22" s="1107"/>
      <c r="BC22" s="321"/>
      <c r="BD22" s="1127"/>
      <c r="BE22" s="1107"/>
      <c r="BF22" s="321"/>
      <c r="BG22" s="1127"/>
      <c r="BH22" s="1107"/>
      <c r="BI22" s="328"/>
      <c r="BJ22" s="1116"/>
      <c r="BL22" s="1127"/>
      <c r="BM22" s="1107"/>
      <c r="BN22" s="321"/>
      <c r="BO22" s="1137"/>
      <c r="BP22" s="1107"/>
      <c r="BQ22" s="321"/>
      <c r="BR22" s="1127"/>
      <c r="BS22" s="1107"/>
      <c r="BT22" s="321"/>
      <c r="BU22" s="1127"/>
      <c r="BV22" s="1107"/>
      <c r="BW22" s="328"/>
      <c r="BX22" s="1116"/>
      <c r="BZ22" s="1127"/>
      <c r="CA22" s="1107"/>
      <c r="CB22" s="321"/>
      <c r="CC22" s="1137"/>
      <c r="CD22" s="1107"/>
      <c r="CE22" s="321"/>
      <c r="CF22" s="1127"/>
      <c r="CG22" s="1107"/>
      <c r="CH22" s="321"/>
      <c r="CI22" s="1127"/>
      <c r="CJ22" s="1107"/>
      <c r="CK22" s="328"/>
      <c r="CL22" s="1116"/>
    </row>
    <row r="23" spans="2:90" ht="99.75" x14ac:dyDescent="0.2">
      <c r="B23" s="1177"/>
      <c r="C23" s="1140"/>
      <c r="D23" s="332" t="str">
        <f>+'Plan de Accion 2018'!F99</f>
        <v>Trámite los Procesos  Precontractuales y Contractuales para la adquisición de Bienes y Servicios de conformidad con lo establecido en el Plan de Adquisiciones de la Dirección Administrativa y Financiera</v>
      </c>
      <c r="E23" s="1146"/>
      <c r="F23" s="1214"/>
      <c r="G23" s="321"/>
      <c r="H23" s="776">
        <f>+'Plan de Accion 2018'!AD99</f>
        <v>0.66296295143400319</v>
      </c>
      <c r="I23" s="777">
        <f>+'Plan de Accion 2018'!BM99</f>
        <v>0.66296295143400319</v>
      </c>
      <c r="J23" s="777">
        <f t="shared" si="6"/>
        <v>0.66296295143400319</v>
      </c>
      <c r="K23" s="777">
        <f>+'Plan de Accion 2018'!AF99</f>
        <v>0.1657407378585008</v>
      </c>
      <c r="L23" s="777">
        <f t="shared" si="7"/>
        <v>0.1657407378585008</v>
      </c>
      <c r="M23" s="1391">
        <f t="shared" si="8"/>
        <v>0.1657407378585008</v>
      </c>
      <c r="N23" s="883"/>
      <c r="O23" s="776">
        <f>+'Plan de Accion 2018'!AN99</f>
        <v>0.90599353273107774</v>
      </c>
      <c r="P23" s="777">
        <f>+'Plan de Accion 2018'!BO99</f>
        <v>0.90599353273107774</v>
      </c>
      <c r="Q23" s="870">
        <f t="shared" si="0"/>
        <v>0.90599353273107774</v>
      </c>
      <c r="R23" s="892">
        <f>+'Plan de Accion 2018'!AP99</f>
        <v>0.4157407378585008</v>
      </c>
      <c r="S23" s="892">
        <f t="shared" si="9"/>
        <v>0.4157407378585008</v>
      </c>
      <c r="T23" s="878">
        <f t="shared" si="1"/>
        <v>0.4157407378585008</v>
      </c>
      <c r="U23" s="324"/>
      <c r="V23" s="776">
        <f>+'Plan de Accion 2018'!AX99</f>
        <v>0</v>
      </c>
      <c r="W23" s="777">
        <f>+'Plan de Accion 2018'!BQ99</f>
        <v>0</v>
      </c>
      <c r="X23" s="870">
        <f t="shared" si="2"/>
        <v>0</v>
      </c>
      <c r="Y23" s="777">
        <f>+'Plan de Accion 2018'!AZ99</f>
        <v>0.4157407378585008</v>
      </c>
      <c r="Z23" s="892">
        <f t="shared" si="10"/>
        <v>0.4157407378585008</v>
      </c>
      <c r="AA23" s="878">
        <f t="shared" si="3"/>
        <v>0.4157407378585008</v>
      </c>
      <c r="AB23" s="324"/>
      <c r="AC23" s="330">
        <f>+'Plan de Accion 2018'!BH99</f>
        <v>0</v>
      </c>
      <c r="AD23" s="331">
        <f>+'Plan de Accion 2018'!BS99</f>
        <v>0</v>
      </c>
      <c r="AE23" s="870">
        <f t="shared" si="4"/>
        <v>0</v>
      </c>
      <c r="AF23" s="777">
        <f>+'Plan de Accion 2018'!BJ99</f>
        <v>0.4157407378585008</v>
      </c>
      <c r="AG23" s="878">
        <f t="shared" si="5"/>
        <v>0.4157407378585008</v>
      </c>
      <c r="AH23" s="1119"/>
      <c r="AJ23" s="1127"/>
      <c r="AK23" s="1107"/>
      <c r="AL23" s="321"/>
      <c r="AM23" s="1137"/>
      <c r="AN23" s="1107"/>
      <c r="AO23" s="321"/>
      <c r="AP23" s="1127"/>
      <c r="AQ23" s="1107"/>
      <c r="AR23" s="321"/>
      <c r="AS23" s="1127"/>
      <c r="AT23" s="1107"/>
      <c r="AU23" s="328"/>
      <c r="AV23" s="1116"/>
      <c r="AX23" s="1127"/>
      <c r="AY23" s="1107"/>
      <c r="AZ23" s="321"/>
      <c r="BA23" s="1137"/>
      <c r="BB23" s="1107"/>
      <c r="BC23" s="321"/>
      <c r="BD23" s="1127"/>
      <c r="BE23" s="1107"/>
      <c r="BF23" s="321"/>
      <c r="BG23" s="1127"/>
      <c r="BH23" s="1107"/>
      <c r="BI23" s="328"/>
      <c r="BJ23" s="1116"/>
      <c r="BL23" s="1127"/>
      <c r="BM23" s="1107"/>
      <c r="BN23" s="321"/>
      <c r="BO23" s="1137"/>
      <c r="BP23" s="1107"/>
      <c r="BQ23" s="321"/>
      <c r="BR23" s="1127"/>
      <c r="BS23" s="1107"/>
      <c r="BT23" s="321"/>
      <c r="BU23" s="1127"/>
      <c r="BV23" s="1107"/>
      <c r="BW23" s="328"/>
      <c r="BX23" s="1116"/>
      <c r="BZ23" s="1127"/>
      <c r="CA23" s="1107"/>
      <c r="CB23" s="321"/>
      <c r="CC23" s="1137"/>
      <c r="CD23" s="1107"/>
      <c r="CE23" s="321"/>
      <c r="CF23" s="1127"/>
      <c r="CG23" s="1107"/>
      <c r="CH23" s="321"/>
      <c r="CI23" s="1127"/>
      <c r="CJ23" s="1107"/>
      <c r="CK23" s="328"/>
      <c r="CL23" s="1116"/>
    </row>
    <row r="24" spans="2:90" ht="15" x14ac:dyDescent="0.2">
      <c r="B24" s="1177"/>
      <c r="C24" s="1140"/>
      <c r="D24" s="423" t="str">
        <f>+'Plan de Accion 2018'!F155</f>
        <v>Asesoría Jurídica</v>
      </c>
      <c r="E24" s="1146"/>
      <c r="F24" s="1214"/>
      <c r="G24" s="321"/>
      <c r="H24" s="776">
        <f>+'Plan de Accion 2018'!AA155</f>
        <v>0.2</v>
      </c>
      <c r="I24" s="777">
        <f>+'Plan de Accion 2018'!BM155</f>
        <v>1</v>
      </c>
      <c r="J24" s="777">
        <f t="shared" si="6"/>
        <v>1</v>
      </c>
      <c r="K24" s="777">
        <f>+'Plan de Accion 2018'!AF155</f>
        <v>0.33333333333333331</v>
      </c>
      <c r="L24" s="777">
        <f t="shared" si="7"/>
        <v>0.25</v>
      </c>
      <c r="M24" s="1391">
        <f t="shared" si="8"/>
        <v>0.25</v>
      </c>
      <c r="N24" s="883"/>
      <c r="O24" s="776">
        <f>+'Plan de Accion 2018'!AN155</f>
        <v>1</v>
      </c>
      <c r="P24" s="777">
        <f>+'Plan de Accion 2018'!BO155</f>
        <v>1</v>
      </c>
      <c r="Q24" s="870">
        <f t="shared" si="0"/>
        <v>1</v>
      </c>
      <c r="R24" s="892">
        <f>+'Plan de Accion 2018'!AP155</f>
        <v>1</v>
      </c>
      <c r="S24" s="892">
        <f>+R24</f>
        <v>1</v>
      </c>
      <c r="T24" s="878">
        <f t="shared" si="1"/>
        <v>1</v>
      </c>
      <c r="U24" s="324"/>
      <c r="V24" s="776" t="e">
        <f>+'Plan de Accion 2018'!AX155</f>
        <v>#DIV/0!</v>
      </c>
      <c r="W24" s="777" t="str">
        <f>+'Plan de Accion 2018'!BQ155</f>
        <v>No Prog ni Ejec</v>
      </c>
      <c r="X24" s="870" t="s">
        <v>792</v>
      </c>
      <c r="Y24" s="777">
        <f>+'Plan de Accion 2018'!AZ155</f>
        <v>1</v>
      </c>
      <c r="Z24" s="892">
        <f>+Y24</f>
        <v>1</v>
      </c>
      <c r="AA24" s="878">
        <f t="shared" si="3"/>
        <v>1</v>
      </c>
      <c r="AB24" s="324"/>
      <c r="AC24" s="330" t="e">
        <f>+'Plan de Accion 2018'!BH155</f>
        <v>#DIV/0!</v>
      </c>
      <c r="AD24" s="331" t="str">
        <f>+'Plan de Accion 2018'!BS155</f>
        <v>No Prog ni Ejec</v>
      </c>
      <c r="AE24" s="870" t="s">
        <v>792</v>
      </c>
      <c r="AF24" s="777">
        <f>+'Plan de Accion 2018'!BJ155</f>
        <v>1</v>
      </c>
      <c r="AG24" s="878">
        <f t="shared" si="5"/>
        <v>1</v>
      </c>
      <c r="AH24" s="1119"/>
      <c r="AJ24" s="1127"/>
      <c r="AK24" s="1107"/>
      <c r="AL24" s="321"/>
      <c r="AM24" s="1137"/>
      <c r="AN24" s="1107"/>
      <c r="AO24" s="321"/>
      <c r="AP24" s="1127"/>
      <c r="AQ24" s="1107"/>
      <c r="AR24" s="321"/>
      <c r="AS24" s="1127"/>
      <c r="AT24" s="1107"/>
      <c r="AU24" s="328"/>
      <c r="AV24" s="1116"/>
      <c r="AX24" s="1127"/>
      <c r="AY24" s="1107"/>
      <c r="AZ24" s="321"/>
      <c r="BA24" s="1137"/>
      <c r="BB24" s="1107"/>
      <c r="BC24" s="321"/>
      <c r="BD24" s="1127"/>
      <c r="BE24" s="1107"/>
      <c r="BF24" s="321"/>
      <c r="BG24" s="1127"/>
      <c r="BH24" s="1107"/>
      <c r="BI24" s="328"/>
      <c r="BJ24" s="1116"/>
      <c r="BL24" s="1127"/>
      <c r="BM24" s="1107"/>
      <c r="BN24" s="321"/>
      <c r="BO24" s="1137"/>
      <c r="BP24" s="1107"/>
      <c r="BQ24" s="321"/>
      <c r="BR24" s="1127"/>
      <c r="BS24" s="1107"/>
      <c r="BT24" s="321"/>
      <c r="BU24" s="1127"/>
      <c r="BV24" s="1107"/>
      <c r="BW24" s="328"/>
      <c r="BX24" s="1116"/>
      <c r="BZ24" s="1127"/>
      <c r="CA24" s="1107"/>
      <c r="CB24" s="321"/>
      <c r="CC24" s="1137"/>
      <c r="CD24" s="1107"/>
      <c r="CE24" s="321"/>
      <c r="CF24" s="1127"/>
      <c r="CG24" s="1107"/>
      <c r="CH24" s="321"/>
      <c r="CI24" s="1127"/>
      <c r="CJ24" s="1107"/>
      <c r="CK24" s="328"/>
      <c r="CL24" s="1116"/>
    </row>
    <row r="25" spans="2:90" ht="15" x14ac:dyDescent="0.2">
      <c r="B25" s="1177"/>
      <c r="C25" s="1140"/>
      <c r="D25" s="332" t="str">
        <f>+'Plan de Accion 2018'!F101</f>
        <v>Plan de capacitación</v>
      </c>
      <c r="E25" s="1146"/>
      <c r="F25" s="1214"/>
      <c r="G25" s="321"/>
      <c r="H25" s="776">
        <f>+'Plan de Accion 2018'!AD101</f>
        <v>0</v>
      </c>
      <c r="I25" s="777">
        <f>+'Plan de Accion 2018'!BM101</f>
        <v>0</v>
      </c>
      <c r="J25" s="777">
        <f t="shared" si="6"/>
        <v>0</v>
      </c>
      <c r="K25" s="777">
        <f>+'Plan de Accion 2018'!AF101</f>
        <v>0</v>
      </c>
      <c r="L25" s="777">
        <f t="shared" si="7"/>
        <v>0</v>
      </c>
      <c r="M25" s="1391">
        <f t="shared" si="8"/>
        <v>0</v>
      </c>
      <c r="N25" s="883"/>
      <c r="O25" s="776">
        <f>+'Plan de Accion 2018'!AN101</f>
        <v>0</v>
      </c>
      <c r="P25" s="777">
        <f>+'Plan de Accion 2018'!BO101</f>
        <v>0</v>
      </c>
      <c r="Q25" s="870">
        <f t="shared" si="0"/>
        <v>0</v>
      </c>
      <c r="R25" s="892">
        <f>+'Plan de Accion 2018'!AP101</f>
        <v>0</v>
      </c>
      <c r="S25" s="892">
        <f t="shared" si="9"/>
        <v>0</v>
      </c>
      <c r="T25" s="878">
        <f t="shared" si="1"/>
        <v>0</v>
      </c>
      <c r="U25" s="324"/>
      <c r="V25" s="776">
        <f>+'Plan de Accion 2018'!AX101</f>
        <v>0</v>
      </c>
      <c r="W25" s="777">
        <f>+'Plan de Accion 2018'!BQ101</f>
        <v>0</v>
      </c>
      <c r="X25" s="870">
        <f t="shared" si="2"/>
        <v>0</v>
      </c>
      <c r="Y25" s="777">
        <f>+'Plan de Accion 2018'!AZ101</f>
        <v>0</v>
      </c>
      <c r="Z25" s="892">
        <f t="shared" si="10"/>
        <v>0</v>
      </c>
      <c r="AA25" s="878">
        <f t="shared" si="3"/>
        <v>0</v>
      </c>
      <c r="AB25" s="324"/>
      <c r="AC25" s="330">
        <f>+'Plan de Accion 2018'!BH101</f>
        <v>0</v>
      </c>
      <c r="AD25" s="331">
        <f>+'Plan de Accion 2018'!BS101</f>
        <v>0</v>
      </c>
      <c r="AE25" s="870">
        <f t="shared" si="4"/>
        <v>0</v>
      </c>
      <c r="AF25" s="777">
        <f>+'Plan de Accion 2018'!BJ101</f>
        <v>0</v>
      </c>
      <c r="AG25" s="878">
        <f t="shared" si="5"/>
        <v>0</v>
      </c>
      <c r="AH25" s="1119"/>
      <c r="AJ25" s="1127"/>
      <c r="AK25" s="1107"/>
      <c r="AL25" s="321"/>
      <c r="AM25" s="1137"/>
      <c r="AN25" s="1107"/>
      <c r="AO25" s="321"/>
      <c r="AP25" s="1127"/>
      <c r="AQ25" s="1107"/>
      <c r="AR25" s="321"/>
      <c r="AS25" s="1127"/>
      <c r="AT25" s="1107"/>
      <c r="AU25" s="328"/>
      <c r="AV25" s="1116"/>
      <c r="AX25" s="1127"/>
      <c r="AY25" s="1107"/>
      <c r="AZ25" s="321"/>
      <c r="BA25" s="1137"/>
      <c r="BB25" s="1107"/>
      <c r="BC25" s="321"/>
      <c r="BD25" s="1127"/>
      <c r="BE25" s="1107"/>
      <c r="BF25" s="321"/>
      <c r="BG25" s="1127"/>
      <c r="BH25" s="1107"/>
      <c r="BI25" s="328"/>
      <c r="BJ25" s="1116"/>
      <c r="BL25" s="1127"/>
      <c r="BM25" s="1107"/>
      <c r="BN25" s="321"/>
      <c r="BO25" s="1137"/>
      <c r="BP25" s="1107"/>
      <c r="BQ25" s="321"/>
      <c r="BR25" s="1127"/>
      <c r="BS25" s="1107"/>
      <c r="BT25" s="321"/>
      <c r="BU25" s="1127"/>
      <c r="BV25" s="1107"/>
      <c r="BW25" s="328"/>
      <c r="BX25" s="1116"/>
      <c r="BZ25" s="1127"/>
      <c r="CA25" s="1107"/>
      <c r="CB25" s="321"/>
      <c r="CC25" s="1137"/>
      <c r="CD25" s="1107"/>
      <c r="CE25" s="321"/>
      <c r="CF25" s="1127"/>
      <c r="CG25" s="1107"/>
      <c r="CH25" s="321"/>
      <c r="CI25" s="1127"/>
      <c r="CJ25" s="1107"/>
      <c r="CK25" s="328"/>
      <c r="CL25" s="1116"/>
    </row>
    <row r="26" spans="2:90" ht="15" x14ac:dyDescent="0.2">
      <c r="B26" s="1177"/>
      <c r="C26" s="1140"/>
      <c r="D26" s="332" t="str">
        <f>+'Plan de Accion 2018'!F102</f>
        <v>Plan de Bienestar</v>
      </c>
      <c r="E26" s="1146"/>
      <c r="F26" s="1214"/>
      <c r="G26" s="321"/>
      <c r="H26" s="776">
        <f>+'Plan de Accion 2018'!AD102</f>
        <v>0</v>
      </c>
      <c r="I26" s="777">
        <f>+'Plan de Accion 2018'!BM102</f>
        <v>0</v>
      </c>
      <c r="J26" s="777">
        <f t="shared" si="6"/>
        <v>0</v>
      </c>
      <c r="K26" s="777">
        <f>+'Plan de Accion 2018'!AF102</f>
        <v>0</v>
      </c>
      <c r="L26" s="777">
        <f t="shared" si="7"/>
        <v>0</v>
      </c>
      <c r="M26" s="1391">
        <f t="shared" si="8"/>
        <v>0</v>
      </c>
      <c r="N26" s="883"/>
      <c r="O26" s="776">
        <f>+'Plan de Accion 2018'!AN102</f>
        <v>0</v>
      </c>
      <c r="P26" s="777">
        <f>+'Plan de Accion 2018'!BO102</f>
        <v>0</v>
      </c>
      <c r="Q26" s="870">
        <f t="shared" si="0"/>
        <v>0</v>
      </c>
      <c r="R26" s="892">
        <f>+'Plan de Accion 2018'!AP102</f>
        <v>0</v>
      </c>
      <c r="S26" s="892">
        <f t="shared" si="9"/>
        <v>0</v>
      </c>
      <c r="T26" s="878">
        <f t="shared" si="1"/>
        <v>0</v>
      </c>
      <c r="U26" s="324"/>
      <c r="V26" s="776">
        <f>+'Plan de Accion 2018'!AX102</f>
        <v>0</v>
      </c>
      <c r="W26" s="777">
        <f>+'Plan de Accion 2018'!BQ102</f>
        <v>0</v>
      </c>
      <c r="X26" s="870">
        <f t="shared" si="2"/>
        <v>0</v>
      </c>
      <c r="Y26" s="777">
        <f>+'Plan de Accion 2018'!AZ102</f>
        <v>0</v>
      </c>
      <c r="Z26" s="892">
        <f t="shared" si="10"/>
        <v>0</v>
      </c>
      <c r="AA26" s="878">
        <f t="shared" si="3"/>
        <v>0</v>
      </c>
      <c r="AB26" s="324"/>
      <c r="AC26" s="330">
        <f>+'Plan de Accion 2018'!BH102</f>
        <v>0</v>
      </c>
      <c r="AD26" s="331">
        <f>+'Plan de Accion 2018'!BS102</f>
        <v>0</v>
      </c>
      <c r="AE26" s="870">
        <f t="shared" si="4"/>
        <v>0</v>
      </c>
      <c r="AF26" s="777">
        <f>+'Plan de Accion 2018'!BJ102</f>
        <v>0</v>
      </c>
      <c r="AG26" s="878">
        <f t="shared" si="5"/>
        <v>0</v>
      </c>
      <c r="AH26" s="1119"/>
      <c r="AJ26" s="1127"/>
      <c r="AK26" s="1107"/>
      <c r="AL26" s="321"/>
      <c r="AM26" s="1137"/>
      <c r="AN26" s="1107"/>
      <c r="AO26" s="321"/>
      <c r="AP26" s="1127"/>
      <c r="AQ26" s="1107"/>
      <c r="AR26" s="321"/>
      <c r="AS26" s="1127"/>
      <c r="AT26" s="1107"/>
      <c r="AU26" s="328"/>
      <c r="AV26" s="1116"/>
      <c r="AX26" s="1127"/>
      <c r="AY26" s="1107"/>
      <c r="AZ26" s="321"/>
      <c r="BA26" s="1137"/>
      <c r="BB26" s="1107"/>
      <c r="BC26" s="321"/>
      <c r="BD26" s="1127"/>
      <c r="BE26" s="1107"/>
      <c r="BF26" s="321"/>
      <c r="BG26" s="1127"/>
      <c r="BH26" s="1107"/>
      <c r="BI26" s="328"/>
      <c r="BJ26" s="1116"/>
      <c r="BL26" s="1127"/>
      <c r="BM26" s="1107"/>
      <c r="BN26" s="321"/>
      <c r="BO26" s="1137"/>
      <c r="BP26" s="1107"/>
      <c r="BQ26" s="321"/>
      <c r="BR26" s="1127"/>
      <c r="BS26" s="1107"/>
      <c r="BT26" s="321"/>
      <c r="BU26" s="1127"/>
      <c r="BV26" s="1107"/>
      <c r="BW26" s="328"/>
      <c r="BX26" s="1116"/>
      <c r="BZ26" s="1127"/>
      <c r="CA26" s="1107"/>
      <c r="CB26" s="321"/>
      <c r="CC26" s="1137"/>
      <c r="CD26" s="1107"/>
      <c r="CE26" s="321"/>
      <c r="CF26" s="1127"/>
      <c r="CG26" s="1107"/>
      <c r="CH26" s="321"/>
      <c r="CI26" s="1127"/>
      <c r="CJ26" s="1107"/>
      <c r="CK26" s="328"/>
      <c r="CL26" s="1116"/>
    </row>
    <row r="27" spans="2:90" ht="15" x14ac:dyDescent="0.2">
      <c r="B27" s="1177"/>
      <c r="C27" s="1140"/>
      <c r="D27" s="332" t="str">
        <f>+'Plan de Accion 2018'!F104</f>
        <v>Sistema de nómina ( Solredes)</v>
      </c>
      <c r="E27" s="1146"/>
      <c r="F27" s="1214"/>
      <c r="G27" s="321"/>
      <c r="H27" s="776">
        <f>+'Plan de Accion 2018'!AD104</f>
        <v>0</v>
      </c>
      <c r="I27" s="777">
        <f>+'Plan de Accion 2018'!BM104</f>
        <v>0</v>
      </c>
      <c r="J27" s="777">
        <f t="shared" si="6"/>
        <v>0</v>
      </c>
      <c r="K27" s="777">
        <f>+'Plan de Accion 2018'!AF104</f>
        <v>0</v>
      </c>
      <c r="L27" s="777">
        <f t="shared" si="7"/>
        <v>0</v>
      </c>
      <c r="M27" s="1391">
        <f t="shared" si="8"/>
        <v>0</v>
      </c>
      <c r="N27" s="883"/>
      <c r="O27" s="776">
        <f>+'Plan de Accion 2018'!AN104</f>
        <v>0</v>
      </c>
      <c r="P27" s="777">
        <f>+'Plan de Accion 2018'!BO104</f>
        <v>0</v>
      </c>
      <c r="Q27" s="870">
        <f t="shared" si="0"/>
        <v>0</v>
      </c>
      <c r="R27" s="892">
        <f>+'Plan de Accion 2018'!AP104</f>
        <v>0</v>
      </c>
      <c r="S27" s="892">
        <f t="shared" si="9"/>
        <v>0</v>
      </c>
      <c r="T27" s="878">
        <f t="shared" si="1"/>
        <v>0</v>
      </c>
      <c r="U27" s="324"/>
      <c r="V27" s="776">
        <f>+'Plan de Accion 2018'!AX104</f>
        <v>0</v>
      </c>
      <c r="W27" s="777">
        <f>+'Plan de Accion 2018'!BQ104</f>
        <v>0</v>
      </c>
      <c r="X27" s="870">
        <f t="shared" si="2"/>
        <v>0</v>
      </c>
      <c r="Y27" s="777">
        <f>+'Plan de Accion 2018'!AZ104</f>
        <v>0</v>
      </c>
      <c r="Z27" s="892">
        <f t="shared" si="10"/>
        <v>0</v>
      </c>
      <c r="AA27" s="878">
        <f t="shared" si="3"/>
        <v>0</v>
      </c>
      <c r="AB27" s="324"/>
      <c r="AC27" s="330">
        <f>+'Plan de Accion 2018'!BH104</f>
        <v>0</v>
      </c>
      <c r="AD27" s="331">
        <f>+'Plan de Accion 2018'!BS104</f>
        <v>0</v>
      </c>
      <c r="AE27" s="870">
        <f t="shared" si="4"/>
        <v>0</v>
      </c>
      <c r="AF27" s="777">
        <f>+'Plan de Accion 2018'!BJ104</f>
        <v>0</v>
      </c>
      <c r="AG27" s="878">
        <f t="shared" si="5"/>
        <v>0</v>
      </c>
      <c r="AH27" s="1119"/>
      <c r="AJ27" s="1127"/>
      <c r="AK27" s="1107"/>
      <c r="AL27" s="321"/>
      <c r="AM27" s="1137"/>
      <c r="AN27" s="1107"/>
      <c r="AO27" s="321"/>
      <c r="AP27" s="1127"/>
      <c r="AQ27" s="1107"/>
      <c r="AR27" s="321"/>
      <c r="AS27" s="1127"/>
      <c r="AT27" s="1107"/>
      <c r="AU27" s="328"/>
      <c r="AV27" s="1116"/>
      <c r="AX27" s="1127"/>
      <c r="AY27" s="1107"/>
      <c r="AZ27" s="321"/>
      <c r="BA27" s="1137"/>
      <c r="BB27" s="1107"/>
      <c r="BC27" s="321"/>
      <c r="BD27" s="1127"/>
      <c r="BE27" s="1107"/>
      <c r="BF27" s="321"/>
      <c r="BG27" s="1127"/>
      <c r="BH27" s="1107"/>
      <c r="BI27" s="328"/>
      <c r="BJ27" s="1116"/>
      <c r="BL27" s="1127"/>
      <c r="BM27" s="1107"/>
      <c r="BN27" s="321"/>
      <c r="BO27" s="1137"/>
      <c r="BP27" s="1107"/>
      <c r="BQ27" s="321"/>
      <c r="BR27" s="1127"/>
      <c r="BS27" s="1107"/>
      <c r="BT27" s="321"/>
      <c r="BU27" s="1127"/>
      <c r="BV27" s="1107"/>
      <c r="BW27" s="328"/>
      <c r="BX27" s="1116"/>
      <c r="BZ27" s="1127"/>
      <c r="CA27" s="1107"/>
      <c r="CB27" s="321"/>
      <c r="CC27" s="1137"/>
      <c r="CD27" s="1107"/>
      <c r="CE27" s="321"/>
      <c r="CF27" s="1127"/>
      <c r="CG27" s="1107"/>
      <c r="CH27" s="321"/>
      <c r="CI27" s="1127"/>
      <c r="CJ27" s="1107"/>
      <c r="CK27" s="328"/>
      <c r="CL27" s="1116"/>
    </row>
    <row r="28" spans="2:90" ht="15" x14ac:dyDescent="0.2">
      <c r="B28" s="1177"/>
      <c r="C28" s="1140"/>
      <c r="D28" s="332" t="str">
        <f>+'Plan de Accion 2018'!F110</f>
        <v>Gestión de Correspondencia</v>
      </c>
      <c r="E28" s="1146"/>
      <c r="F28" s="1214"/>
      <c r="G28" s="321"/>
      <c r="H28" s="776">
        <f>+'Plan de Accion 2018'!AD110</f>
        <v>0.43977388786953714</v>
      </c>
      <c r="I28" s="777">
        <f>+'Plan de Accion 2018'!BM110</f>
        <v>0.43977388786953714</v>
      </c>
      <c r="J28" s="777">
        <f t="shared" si="6"/>
        <v>0.43977388786953714</v>
      </c>
      <c r="K28" s="777">
        <f>+'Plan de Accion 2018'!AF110</f>
        <v>0.10994347196738428</v>
      </c>
      <c r="L28" s="777">
        <f t="shared" si="7"/>
        <v>0.10994347196738428</v>
      </c>
      <c r="M28" s="1391">
        <f t="shared" si="8"/>
        <v>0.10994347196738428</v>
      </c>
      <c r="N28" s="883"/>
      <c r="O28" s="776">
        <f>+'Plan de Accion 2018'!AN110</f>
        <v>0.48164800029361349</v>
      </c>
      <c r="P28" s="777">
        <f>+'Plan de Accion 2018'!BO110</f>
        <v>0.48164800029361349</v>
      </c>
      <c r="Q28" s="870">
        <f t="shared" si="0"/>
        <v>0.48164800029361349</v>
      </c>
      <c r="R28" s="892">
        <f>+'Plan de Accion 2018'!AP110</f>
        <v>0.23035547204078766</v>
      </c>
      <c r="S28" s="892">
        <f t="shared" si="9"/>
        <v>0.23035547204078766</v>
      </c>
      <c r="T28" s="878">
        <f t="shared" si="1"/>
        <v>0.23035547204078766</v>
      </c>
      <c r="U28" s="324"/>
      <c r="V28" s="776">
        <f>+'Plan de Accion 2018'!AX110</f>
        <v>0</v>
      </c>
      <c r="W28" s="777">
        <f>+'Plan de Accion 2018'!BQ110</f>
        <v>0</v>
      </c>
      <c r="X28" s="870">
        <f t="shared" si="2"/>
        <v>0</v>
      </c>
      <c r="Y28" s="777">
        <f>+'Plan de Accion 2018'!AZ110</f>
        <v>0.23035547204078766</v>
      </c>
      <c r="Z28" s="892">
        <f t="shared" si="10"/>
        <v>0.23035547204078766</v>
      </c>
      <c r="AA28" s="878">
        <f t="shared" si="3"/>
        <v>0.23035547204078766</v>
      </c>
      <c r="AB28" s="324"/>
      <c r="AC28" s="330">
        <f>+'Plan de Accion 2018'!BH110</f>
        <v>0</v>
      </c>
      <c r="AD28" s="331">
        <f>+'Plan de Accion 2018'!BS110</f>
        <v>0</v>
      </c>
      <c r="AE28" s="870">
        <f t="shared" si="4"/>
        <v>0</v>
      </c>
      <c r="AF28" s="777">
        <f>+'Plan de Accion 2018'!BJ110</f>
        <v>0.23035547204078766</v>
      </c>
      <c r="AG28" s="878">
        <f t="shared" si="5"/>
        <v>0.23035547204078766</v>
      </c>
      <c r="AH28" s="1119"/>
      <c r="AJ28" s="1127"/>
      <c r="AK28" s="1107"/>
      <c r="AL28" s="321"/>
      <c r="AM28" s="1137"/>
      <c r="AN28" s="1107"/>
      <c r="AO28" s="321"/>
      <c r="AP28" s="1127"/>
      <c r="AQ28" s="1107"/>
      <c r="AR28" s="321"/>
      <c r="AS28" s="1127"/>
      <c r="AT28" s="1107"/>
      <c r="AU28" s="328"/>
      <c r="AV28" s="1116"/>
      <c r="AX28" s="1127"/>
      <c r="AY28" s="1107"/>
      <c r="AZ28" s="321"/>
      <c r="BA28" s="1137"/>
      <c r="BB28" s="1107"/>
      <c r="BC28" s="321"/>
      <c r="BD28" s="1127"/>
      <c r="BE28" s="1107"/>
      <c r="BF28" s="321"/>
      <c r="BG28" s="1127"/>
      <c r="BH28" s="1107"/>
      <c r="BI28" s="328"/>
      <c r="BJ28" s="1116"/>
      <c r="BL28" s="1127"/>
      <c r="BM28" s="1107"/>
      <c r="BN28" s="321"/>
      <c r="BO28" s="1137"/>
      <c r="BP28" s="1107"/>
      <c r="BQ28" s="321"/>
      <c r="BR28" s="1127"/>
      <c r="BS28" s="1107"/>
      <c r="BT28" s="321"/>
      <c r="BU28" s="1127"/>
      <c r="BV28" s="1107"/>
      <c r="BW28" s="328"/>
      <c r="BX28" s="1116"/>
      <c r="BZ28" s="1127"/>
      <c r="CA28" s="1107"/>
      <c r="CB28" s="321"/>
      <c r="CC28" s="1137"/>
      <c r="CD28" s="1107"/>
      <c r="CE28" s="321"/>
      <c r="CF28" s="1127"/>
      <c r="CG28" s="1107"/>
      <c r="CH28" s="321"/>
      <c r="CI28" s="1127"/>
      <c r="CJ28" s="1107"/>
      <c r="CK28" s="328"/>
      <c r="CL28" s="1116"/>
    </row>
    <row r="29" spans="2:90" ht="99.75" x14ac:dyDescent="0.2">
      <c r="B29" s="1177"/>
      <c r="C29" s="1140"/>
      <c r="D29" s="332" t="str">
        <f>+'Plan de Accion 2018'!F111</f>
        <v>Fortalecimiento de canales de atención al ciudadano con el fin de brindar la atención, respuesta inmediata, seguimiento a solicitudes de los ciudadanos, empresas y servidores públicos. Call Center .</v>
      </c>
      <c r="E29" s="1146"/>
      <c r="F29" s="1214"/>
      <c r="G29" s="321"/>
      <c r="H29" s="776">
        <f>+'Plan de Accion 2018'!AD111</f>
        <v>1.023519968924556</v>
      </c>
      <c r="I29" s="777">
        <f>+'Plan de Accion 2018'!BM111</f>
        <v>1.023519968924556</v>
      </c>
      <c r="J29" s="777">
        <f t="shared" si="6"/>
        <v>1</v>
      </c>
      <c r="K29" s="777">
        <f>+'Plan de Accion 2018'!AF111</f>
        <v>0.255879992231139</v>
      </c>
      <c r="L29" s="777">
        <f t="shared" si="7"/>
        <v>0.25</v>
      </c>
      <c r="M29" s="1391">
        <f t="shared" si="8"/>
        <v>0.25</v>
      </c>
      <c r="N29" s="883">
        <v>1</v>
      </c>
      <c r="O29" s="776">
        <f>+'Plan de Accion 2018'!AN111</f>
        <v>1.0430536742320939</v>
      </c>
      <c r="P29" s="777">
        <f>+'Plan de Accion 2018'!BO111</f>
        <v>1.0430536742320939</v>
      </c>
      <c r="Q29" s="870">
        <f t="shared" si="0"/>
        <v>1</v>
      </c>
      <c r="R29" s="892">
        <f>+'Plan de Accion 2018'!AP111</f>
        <v>0.51664341078916254</v>
      </c>
      <c r="S29" s="892">
        <f t="shared" si="9"/>
        <v>0.5</v>
      </c>
      <c r="T29" s="878">
        <f t="shared" si="1"/>
        <v>0.5</v>
      </c>
      <c r="U29" s="883">
        <v>1</v>
      </c>
      <c r="V29" s="776">
        <f>+'Plan de Accion 2018'!AX111</f>
        <v>0</v>
      </c>
      <c r="W29" s="777">
        <f>+'Plan de Accion 2018'!BQ111</f>
        <v>0</v>
      </c>
      <c r="X29" s="870">
        <f t="shared" si="2"/>
        <v>0</v>
      </c>
      <c r="Y29" s="777">
        <f>+'Plan de Accion 2018'!AZ111</f>
        <v>0.51664341078916254</v>
      </c>
      <c r="Z29" s="892">
        <f t="shared" si="10"/>
        <v>0.51664341078916254</v>
      </c>
      <c r="AA29" s="878">
        <f t="shared" si="3"/>
        <v>0.51664341078916254</v>
      </c>
      <c r="AB29" s="324"/>
      <c r="AC29" s="330">
        <f>+'Plan de Accion 2018'!BH111</f>
        <v>0</v>
      </c>
      <c r="AD29" s="331">
        <f>+'Plan de Accion 2018'!BS111</f>
        <v>0</v>
      </c>
      <c r="AE29" s="870">
        <f t="shared" si="4"/>
        <v>0</v>
      </c>
      <c r="AF29" s="777">
        <f>+'Plan de Accion 2018'!BJ111</f>
        <v>0.51664341078916254</v>
      </c>
      <c r="AG29" s="878">
        <f t="shared" si="5"/>
        <v>0.51664341078916254</v>
      </c>
      <c r="AH29" s="1119"/>
      <c r="AJ29" s="1127"/>
      <c r="AK29" s="1107"/>
      <c r="AL29" s="321"/>
      <c r="AM29" s="1137"/>
      <c r="AN29" s="1107"/>
      <c r="AO29" s="321"/>
      <c r="AP29" s="1127"/>
      <c r="AQ29" s="1107"/>
      <c r="AR29" s="321"/>
      <c r="AS29" s="1127"/>
      <c r="AT29" s="1107"/>
      <c r="AU29" s="328"/>
      <c r="AV29" s="1116"/>
      <c r="AX29" s="1127"/>
      <c r="AY29" s="1107"/>
      <c r="AZ29" s="321"/>
      <c r="BA29" s="1137"/>
      <c r="BB29" s="1107"/>
      <c r="BC29" s="321"/>
      <c r="BD29" s="1127"/>
      <c r="BE29" s="1107"/>
      <c r="BF29" s="321"/>
      <c r="BG29" s="1127"/>
      <c r="BH29" s="1107"/>
      <c r="BI29" s="328"/>
      <c r="BJ29" s="1116"/>
      <c r="BL29" s="1127"/>
      <c r="BM29" s="1107"/>
      <c r="BN29" s="321"/>
      <c r="BO29" s="1137"/>
      <c r="BP29" s="1107"/>
      <c r="BQ29" s="321"/>
      <c r="BR29" s="1127"/>
      <c r="BS29" s="1107"/>
      <c r="BT29" s="321"/>
      <c r="BU29" s="1127"/>
      <c r="BV29" s="1107"/>
      <c r="BW29" s="328"/>
      <c r="BX29" s="1116"/>
      <c r="BZ29" s="1127"/>
      <c r="CA29" s="1107"/>
      <c r="CB29" s="321"/>
      <c r="CC29" s="1137"/>
      <c r="CD29" s="1107"/>
      <c r="CE29" s="321"/>
      <c r="CF29" s="1127"/>
      <c r="CG29" s="1107"/>
      <c r="CH29" s="321"/>
      <c r="CI29" s="1127"/>
      <c r="CJ29" s="1107"/>
      <c r="CK29" s="328"/>
      <c r="CL29" s="1116"/>
    </row>
    <row r="30" spans="2:90" ht="28.5" x14ac:dyDescent="0.2">
      <c r="B30" s="1177"/>
      <c r="C30" s="1140"/>
      <c r="D30" s="332" t="str">
        <f>+'Plan de Accion 2018'!F107</f>
        <v xml:space="preserve">Publicación Diario Oficial y diario de Amplia Circulación </v>
      </c>
      <c r="E30" s="1146"/>
      <c r="F30" s="1214"/>
      <c r="G30" s="321"/>
      <c r="H30" s="776">
        <f>+'Plan de Accion 2018'!AA107</f>
        <v>1</v>
      </c>
      <c r="I30" s="777" t="str">
        <f>+'Plan de Accion 2018'!BM107</f>
        <v>No Prog, Ejec=  57600</v>
      </c>
      <c r="J30" s="777">
        <f t="shared" si="6"/>
        <v>1</v>
      </c>
      <c r="K30" s="842">
        <f>+'Plan de Accion 2018'!AF107</f>
        <v>5.7600000000000001E-4</v>
      </c>
      <c r="L30" s="777">
        <f t="shared" si="7"/>
        <v>5.7600000000000001E-4</v>
      </c>
      <c r="M30" s="1391">
        <f t="shared" si="8"/>
        <v>5.7600000000000001E-4</v>
      </c>
      <c r="N30" s="883"/>
      <c r="O30" s="923">
        <f>+'Plan de Accion 2018'!AN107</f>
        <v>1.134E-3</v>
      </c>
      <c r="P30" s="842">
        <f>+'Plan de Accion 2018'!BO107</f>
        <v>1.134E-3</v>
      </c>
      <c r="Q30" s="871">
        <f t="shared" si="0"/>
        <v>1.134E-3</v>
      </c>
      <c r="R30" s="924">
        <f>+'Plan de Accion 2018'!AP107</f>
        <v>1.1429999999999999E-3</v>
      </c>
      <c r="S30" s="924">
        <f t="shared" si="9"/>
        <v>1.1429999999999999E-3</v>
      </c>
      <c r="T30" s="925">
        <f t="shared" si="1"/>
        <v>1.1429999999999999E-3</v>
      </c>
      <c r="U30" s="324"/>
      <c r="V30" s="776" t="e">
        <f>+'Plan de Accion 2018'!AX107</f>
        <v>#DIV/0!</v>
      </c>
      <c r="W30" s="777" t="str">
        <f>+'Plan de Accion 2018'!BQ107</f>
        <v>No Prog ni Ejec</v>
      </c>
      <c r="X30" s="870" t="s">
        <v>792</v>
      </c>
      <c r="Y30" s="777">
        <f>+'Plan de Accion 2018'!AZ107</f>
        <v>1.1429999999999999E-3</v>
      </c>
      <c r="Z30" s="892">
        <f t="shared" si="10"/>
        <v>1.1429999999999999E-3</v>
      </c>
      <c r="AA30" s="878">
        <f t="shared" si="3"/>
        <v>1.1429999999999999E-3</v>
      </c>
      <c r="AB30" s="324"/>
      <c r="AC30" s="330">
        <f>+'Plan de Accion 2018'!BH107</f>
        <v>0</v>
      </c>
      <c r="AD30" s="331">
        <f>+'Plan de Accion 2018'!BS107</f>
        <v>0</v>
      </c>
      <c r="AE30" s="870">
        <f t="shared" si="4"/>
        <v>0</v>
      </c>
      <c r="AF30" s="777">
        <f>+'Plan de Accion 2018'!BJ107</f>
        <v>1.1429999999999999E-3</v>
      </c>
      <c r="AG30" s="878">
        <f t="shared" si="5"/>
        <v>1.1429999999999999E-3</v>
      </c>
      <c r="AH30" s="1119"/>
      <c r="AJ30" s="1127"/>
      <c r="AK30" s="1107"/>
      <c r="AL30" s="321"/>
      <c r="AM30" s="1137"/>
      <c r="AN30" s="1107"/>
      <c r="AO30" s="321"/>
      <c r="AP30" s="1127"/>
      <c r="AQ30" s="1107"/>
      <c r="AR30" s="321"/>
      <c r="AS30" s="1127"/>
      <c r="AT30" s="1107"/>
      <c r="AU30" s="328"/>
      <c r="AV30" s="1116"/>
      <c r="AX30" s="1127"/>
      <c r="AY30" s="1107"/>
      <c r="AZ30" s="321"/>
      <c r="BA30" s="1137"/>
      <c r="BB30" s="1107"/>
      <c r="BC30" s="321"/>
      <c r="BD30" s="1127"/>
      <c r="BE30" s="1107"/>
      <c r="BF30" s="321"/>
      <c r="BG30" s="1127"/>
      <c r="BH30" s="1107"/>
      <c r="BI30" s="328"/>
      <c r="BJ30" s="1116"/>
      <c r="BL30" s="1127"/>
      <c r="BM30" s="1107"/>
      <c r="BN30" s="321"/>
      <c r="BO30" s="1137"/>
      <c r="BP30" s="1107"/>
      <c r="BQ30" s="321"/>
      <c r="BR30" s="1127"/>
      <c r="BS30" s="1107"/>
      <c r="BT30" s="321"/>
      <c r="BU30" s="1127"/>
      <c r="BV30" s="1107"/>
      <c r="BW30" s="328"/>
      <c r="BX30" s="1116"/>
      <c r="BZ30" s="1127"/>
      <c r="CA30" s="1107"/>
      <c r="CB30" s="321"/>
      <c r="CC30" s="1137"/>
      <c r="CD30" s="1107"/>
      <c r="CE30" s="321"/>
      <c r="CF30" s="1127"/>
      <c r="CG30" s="1107"/>
      <c r="CH30" s="321"/>
      <c r="CI30" s="1127"/>
      <c r="CJ30" s="1107"/>
      <c r="CK30" s="328"/>
      <c r="CL30" s="1116"/>
    </row>
    <row r="31" spans="2:90" ht="28.5" x14ac:dyDescent="0.2">
      <c r="B31" s="1177"/>
      <c r="C31" s="1140"/>
      <c r="D31" s="332" t="str">
        <f>+'Plan de Accion 2018'!F113</f>
        <v>Custodia documental y atención de consultas</v>
      </c>
      <c r="E31" s="1146"/>
      <c r="F31" s="1214"/>
      <c r="G31" s="321"/>
      <c r="H31" s="776">
        <f>+'Plan de Accion 2018'!AD113</f>
        <v>1.3636394578199698</v>
      </c>
      <c r="I31" s="777">
        <f>+'Plan de Accion 2018'!BM113</f>
        <v>1.3636394578199698</v>
      </c>
      <c r="J31" s="777">
        <f t="shared" si="6"/>
        <v>1</v>
      </c>
      <c r="K31" s="777">
        <f>+'Plan de Accion 2018'!AF113</f>
        <v>0.34090986445499244</v>
      </c>
      <c r="L31" s="777">
        <f t="shared" si="7"/>
        <v>0.25</v>
      </c>
      <c r="M31" s="1391">
        <f t="shared" si="8"/>
        <v>0.25</v>
      </c>
      <c r="N31" s="883">
        <v>1</v>
      </c>
      <c r="O31" s="776">
        <f>+'Plan de Accion 2018'!AN113</f>
        <v>0.67606493433348269</v>
      </c>
      <c r="P31" s="777">
        <f>+'Plan de Accion 2018'!BO113</f>
        <v>0.67606493433348269</v>
      </c>
      <c r="Q31" s="870">
        <f t="shared" si="0"/>
        <v>0.67606493433348269</v>
      </c>
      <c r="R31" s="892">
        <f>+'Plan de Accion 2018'!AP113</f>
        <v>0.50992609803836308</v>
      </c>
      <c r="S31" s="892">
        <f t="shared" si="9"/>
        <v>0.5</v>
      </c>
      <c r="T31" s="878">
        <f t="shared" si="1"/>
        <v>0.5</v>
      </c>
      <c r="U31" s="324"/>
      <c r="V31" s="776">
        <f>+'Plan de Accion 2018'!AX113</f>
        <v>0</v>
      </c>
      <c r="W31" s="777">
        <f>+'Plan de Accion 2018'!BQ113</f>
        <v>0</v>
      </c>
      <c r="X31" s="870">
        <f t="shared" si="2"/>
        <v>0</v>
      </c>
      <c r="Y31" s="777">
        <f>+'Plan de Accion 2018'!AZ113</f>
        <v>0.50992609803836308</v>
      </c>
      <c r="Z31" s="892">
        <f t="shared" si="10"/>
        <v>0.50992609803836308</v>
      </c>
      <c r="AA31" s="878">
        <f t="shared" si="3"/>
        <v>0.50992609803836308</v>
      </c>
      <c r="AB31" s="324"/>
      <c r="AC31" s="330">
        <f>+'Plan de Accion 2018'!BH113</f>
        <v>0</v>
      </c>
      <c r="AD31" s="331">
        <f>+'Plan de Accion 2018'!BS113</f>
        <v>0</v>
      </c>
      <c r="AE31" s="870">
        <f t="shared" si="4"/>
        <v>0</v>
      </c>
      <c r="AF31" s="777">
        <f>+'Plan de Accion 2018'!BJ113</f>
        <v>0.50992609803836308</v>
      </c>
      <c r="AG31" s="878">
        <f t="shared" si="5"/>
        <v>0.50992609803836308</v>
      </c>
      <c r="AH31" s="1119"/>
      <c r="AJ31" s="1127"/>
      <c r="AK31" s="1107"/>
      <c r="AL31" s="321"/>
      <c r="AM31" s="1137"/>
      <c r="AN31" s="1107"/>
      <c r="AO31" s="321"/>
      <c r="AP31" s="1127"/>
      <c r="AQ31" s="1107"/>
      <c r="AR31" s="321"/>
      <c r="AS31" s="1127"/>
      <c r="AT31" s="1107"/>
      <c r="AU31" s="328"/>
      <c r="AV31" s="1116"/>
      <c r="AX31" s="1127"/>
      <c r="AY31" s="1107"/>
      <c r="AZ31" s="321"/>
      <c r="BA31" s="1137"/>
      <c r="BB31" s="1107"/>
      <c r="BC31" s="321"/>
      <c r="BD31" s="1127"/>
      <c r="BE31" s="1107"/>
      <c r="BF31" s="321"/>
      <c r="BG31" s="1127"/>
      <c r="BH31" s="1107"/>
      <c r="BI31" s="328"/>
      <c r="BJ31" s="1116"/>
      <c r="BL31" s="1127"/>
      <c r="BM31" s="1107"/>
      <c r="BN31" s="321"/>
      <c r="BO31" s="1137"/>
      <c r="BP31" s="1107"/>
      <c r="BQ31" s="321"/>
      <c r="BR31" s="1127"/>
      <c r="BS31" s="1107"/>
      <c r="BT31" s="321"/>
      <c r="BU31" s="1127"/>
      <c r="BV31" s="1107"/>
      <c r="BW31" s="328"/>
      <c r="BX31" s="1116"/>
      <c r="BZ31" s="1127"/>
      <c r="CA31" s="1107"/>
      <c r="CB31" s="321"/>
      <c r="CC31" s="1137"/>
      <c r="CD31" s="1107"/>
      <c r="CE31" s="321"/>
      <c r="CF31" s="1127"/>
      <c r="CG31" s="1107"/>
      <c r="CH31" s="321"/>
      <c r="CI31" s="1127"/>
      <c r="CJ31" s="1107"/>
      <c r="CK31" s="328"/>
      <c r="CL31" s="1116"/>
    </row>
    <row r="32" spans="2:90" ht="28.5" x14ac:dyDescent="0.2">
      <c r="B32" s="1177"/>
      <c r="C32" s="1140"/>
      <c r="D32" s="747" t="str">
        <f>+'Plan de Accion 2018'!F159</f>
        <v>Informe mensual de los contenidos digitales de la ADRES</v>
      </c>
      <c r="E32" s="749" t="str">
        <f>+'Plan de Accion 2018'!B159</f>
        <v xml:space="preserve">Dirección General </v>
      </c>
      <c r="F32" s="1214"/>
      <c r="G32" s="321"/>
      <c r="H32" s="776" t="e">
        <f>+'Plan de Accion 2018'!AD159</f>
        <v>#DIV/0!</v>
      </c>
      <c r="I32" s="777" t="str">
        <f>+'Plan de Accion 2018'!BM159</f>
        <v>No Prog ni Ejec</v>
      </c>
      <c r="J32" s="777" t="s">
        <v>792</v>
      </c>
      <c r="K32" s="777">
        <f>+'Plan de Accion 2018'!AF159</f>
        <v>0</v>
      </c>
      <c r="L32" s="777">
        <f t="shared" si="7"/>
        <v>0</v>
      </c>
      <c r="M32" s="1391" t="s">
        <v>792</v>
      </c>
      <c r="N32" s="887"/>
      <c r="O32" s="776" t="e">
        <f>+'Plan de Accion 2018'!AN159</f>
        <v>#DIV/0!</v>
      </c>
      <c r="P32" s="777" t="str">
        <f>+'Plan de Accion 2018'!BO159</f>
        <v>No Prog ni Ejec</v>
      </c>
      <c r="Q32" s="870" t="s">
        <v>792</v>
      </c>
      <c r="R32" s="892">
        <f>+'Plan de Accion 2018'!AP159</f>
        <v>0</v>
      </c>
      <c r="S32" s="892">
        <f t="shared" si="9"/>
        <v>0</v>
      </c>
      <c r="T32" s="878" t="s">
        <v>792</v>
      </c>
      <c r="U32" s="336"/>
      <c r="V32" s="776">
        <f>+'Plan de Accion 2018'!AX159</f>
        <v>0</v>
      </c>
      <c r="W32" s="777">
        <f>+'Plan de Accion 2018'!BQ159</f>
        <v>0</v>
      </c>
      <c r="X32" s="870">
        <f t="shared" si="2"/>
        <v>0</v>
      </c>
      <c r="Y32" s="777">
        <f>+'Plan de Accion 2018'!AZ159</f>
        <v>0</v>
      </c>
      <c r="Z32" s="892">
        <f t="shared" si="10"/>
        <v>0</v>
      </c>
      <c r="AA32" s="878">
        <f t="shared" si="3"/>
        <v>0</v>
      </c>
      <c r="AB32" s="336"/>
      <c r="AC32" s="330">
        <f>+'Plan de Accion 2018'!BH159</f>
        <v>0</v>
      </c>
      <c r="AD32" s="331">
        <f>+'Plan de Accion 2018'!BS159</f>
        <v>0</v>
      </c>
      <c r="AE32" s="870">
        <f t="shared" si="4"/>
        <v>0</v>
      </c>
      <c r="AF32" s="777">
        <f>+'Plan de Accion 2018'!BJ159</f>
        <v>0</v>
      </c>
      <c r="AG32" s="878">
        <f t="shared" si="5"/>
        <v>0</v>
      </c>
      <c r="AH32" s="1119"/>
      <c r="AJ32" s="1127"/>
      <c r="AK32" s="1107"/>
      <c r="AL32" s="321"/>
      <c r="AM32" s="1137"/>
      <c r="AN32" s="1107"/>
      <c r="AO32" s="321"/>
      <c r="AP32" s="1127"/>
      <c r="AQ32" s="1107"/>
      <c r="AR32" s="321"/>
      <c r="AS32" s="1127"/>
      <c r="AT32" s="1107"/>
      <c r="AU32" s="328"/>
      <c r="AV32" s="1116"/>
      <c r="AX32" s="1127"/>
      <c r="AY32" s="1107"/>
      <c r="AZ32" s="321"/>
      <c r="BA32" s="1137"/>
      <c r="BB32" s="1107"/>
      <c r="BC32" s="321"/>
      <c r="BD32" s="1127"/>
      <c r="BE32" s="1107"/>
      <c r="BF32" s="321"/>
      <c r="BG32" s="1127"/>
      <c r="BH32" s="1107"/>
      <c r="BI32" s="328"/>
      <c r="BJ32" s="1116"/>
      <c r="BL32" s="1127"/>
      <c r="BM32" s="1107"/>
      <c r="BN32" s="321"/>
      <c r="BO32" s="1137"/>
      <c r="BP32" s="1107"/>
      <c r="BQ32" s="321"/>
      <c r="BR32" s="1127"/>
      <c r="BS32" s="1107"/>
      <c r="BT32" s="321"/>
      <c r="BU32" s="1127"/>
      <c r="BV32" s="1107"/>
      <c r="BW32" s="328"/>
      <c r="BX32" s="1116"/>
      <c r="BZ32" s="1127"/>
      <c r="CA32" s="1107"/>
      <c r="CB32" s="321"/>
      <c r="CC32" s="1137"/>
      <c r="CD32" s="1107"/>
      <c r="CE32" s="321"/>
      <c r="CF32" s="1127"/>
      <c r="CG32" s="1107"/>
      <c r="CH32" s="321"/>
      <c r="CI32" s="1127"/>
      <c r="CJ32" s="1107"/>
      <c r="CK32" s="328"/>
      <c r="CL32" s="1116"/>
    </row>
    <row r="33" spans="2:90" ht="71.25" x14ac:dyDescent="0.2">
      <c r="B33" s="1177"/>
      <c r="C33" s="1140"/>
      <c r="D33" s="747" t="str">
        <f>+'Plan de Accion 2018'!F160</f>
        <v>Página Web de la ADRES adaptada a requisitos de la NTC 5854.</v>
      </c>
      <c r="E33" s="749" t="str">
        <f>+'Plan de Accion 2018'!B160</f>
        <v>Dirección General
Dirección de Gestión de Tecnología de Información y Comunicaciones</v>
      </c>
      <c r="F33" s="1214"/>
      <c r="G33" s="321"/>
      <c r="H33" s="776" t="e">
        <f>+'Plan de Accion 2018'!AD160</f>
        <v>#DIV/0!</v>
      </c>
      <c r="I33" s="777" t="str">
        <f>+'Plan de Accion 2018'!BM160</f>
        <v>No Prog ni Ejec</v>
      </c>
      <c r="J33" s="777" t="s">
        <v>792</v>
      </c>
      <c r="K33" s="777">
        <f>+'Plan de Accion 2018'!AF160</f>
        <v>0</v>
      </c>
      <c r="L33" s="777">
        <f t="shared" si="7"/>
        <v>0</v>
      </c>
      <c r="M33" s="1391" t="s">
        <v>792</v>
      </c>
      <c r="N33" s="887"/>
      <c r="O33" s="776" t="e">
        <f>+'Plan de Accion 2018'!AN160</f>
        <v>#DIV/0!</v>
      </c>
      <c r="P33" s="777" t="str">
        <f>+'Plan de Accion 2018'!BO160</f>
        <v>No Prog ni Ejec</v>
      </c>
      <c r="Q33" s="870" t="s">
        <v>792</v>
      </c>
      <c r="R33" s="892">
        <f>+'Plan de Accion 2018'!AP160</f>
        <v>0</v>
      </c>
      <c r="S33" s="892">
        <f t="shared" si="9"/>
        <v>0</v>
      </c>
      <c r="T33" s="878" t="s">
        <v>792</v>
      </c>
      <c r="U33" s="336"/>
      <c r="V33" s="776">
        <f>+'Plan de Accion 2018'!AX160</f>
        <v>0</v>
      </c>
      <c r="W33" s="777">
        <f>+'Plan de Accion 2018'!BQ160</f>
        <v>0</v>
      </c>
      <c r="X33" s="870">
        <f t="shared" si="2"/>
        <v>0</v>
      </c>
      <c r="Y33" s="777">
        <f>+'Plan de Accion 2018'!AZ160</f>
        <v>0</v>
      </c>
      <c r="Z33" s="892">
        <f t="shared" si="10"/>
        <v>0</v>
      </c>
      <c r="AA33" s="878">
        <f t="shared" si="3"/>
        <v>0</v>
      </c>
      <c r="AB33" s="336"/>
      <c r="AC33" s="330">
        <f>+'Plan de Accion 2018'!BH160</f>
        <v>0</v>
      </c>
      <c r="AD33" s="331">
        <f>+'Plan de Accion 2018'!BS160</f>
        <v>0</v>
      </c>
      <c r="AE33" s="870">
        <f t="shared" si="4"/>
        <v>0</v>
      </c>
      <c r="AF33" s="777">
        <f>+'Plan de Accion 2018'!BJ160</f>
        <v>0</v>
      </c>
      <c r="AG33" s="878">
        <f t="shared" si="5"/>
        <v>0</v>
      </c>
      <c r="AH33" s="1119"/>
      <c r="AJ33" s="1127"/>
      <c r="AK33" s="1107"/>
      <c r="AL33" s="321"/>
      <c r="AM33" s="1137"/>
      <c r="AN33" s="1107"/>
      <c r="AO33" s="321"/>
      <c r="AP33" s="1127"/>
      <c r="AQ33" s="1107"/>
      <c r="AR33" s="321"/>
      <c r="AS33" s="1127"/>
      <c r="AT33" s="1107"/>
      <c r="AU33" s="328"/>
      <c r="AV33" s="1116"/>
      <c r="AX33" s="1127"/>
      <c r="AY33" s="1107"/>
      <c r="AZ33" s="321"/>
      <c r="BA33" s="1137"/>
      <c r="BB33" s="1107"/>
      <c r="BC33" s="321"/>
      <c r="BD33" s="1127"/>
      <c r="BE33" s="1107"/>
      <c r="BF33" s="321"/>
      <c r="BG33" s="1127"/>
      <c r="BH33" s="1107"/>
      <c r="BI33" s="328"/>
      <c r="BJ33" s="1116"/>
      <c r="BL33" s="1127"/>
      <c r="BM33" s="1107"/>
      <c r="BN33" s="321"/>
      <c r="BO33" s="1137"/>
      <c r="BP33" s="1107"/>
      <c r="BQ33" s="321"/>
      <c r="BR33" s="1127"/>
      <c r="BS33" s="1107"/>
      <c r="BT33" s="321"/>
      <c r="BU33" s="1127"/>
      <c r="BV33" s="1107"/>
      <c r="BW33" s="328"/>
      <c r="BX33" s="1116"/>
      <c r="BZ33" s="1127"/>
      <c r="CA33" s="1107"/>
      <c r="CB33" s="321"/>
      <c r="CC33" s="1137"/>
      <c r="CD33" s="1107"/>
      <c r="CE33" s="321"/>
      <c r="CF33" s="1127"/>
      <c r="CG33" s="1107"/>
      <c r="CH33" s="321"/>
      <c r="CI33" s="1127"/>
      <c r="CJ33" s="1107"/>
      <c r="CK33" s="328"/>
      <c r="CL33" s="1116"/>
    </row>
    <row r="34" spans="2:90" ht="85.5" x14ac:dyDescent="0.2">
      <c r="B34" s="1177"/>
      <c r="C34" s="1140"/>
      <c r="D34" s="747" t="str">
        <f>+'Plan de Accion 2018'!F161</f>
        <v>NIIF implementadas</v>
      </c>
      <c r="E34" s="749" t="str">
        <f>+'Plan de Accion 2018'!B161</f>
        <v>Dirección de Gestión de Recursos Financieros para la Salud
Dirección Administrativa y Financiera</v>
      </c>
      <c r="F34" s="1214"/>
      <c r="G34" s="321"/>
      <c r="H34" s="776" t="e">
        <f>+'Plan de Accion 2018'!AD161</f>
        <v>#DIV/0!</v>
      </c>
      <c r="I34" s="777" t="str">
        <f>+'Plan de Accion 2018'!BM161</f>
        <v>No Prog ni Ejec</v>
      </c>
      <c r="J34" s="777" t="s">
        <v>792</v>
      </c>
      <c r="K34" s="777">
        <f>+'Plan de Accion 2018'!AF161</f>
        <v>0</v>
      </c>
      <c r="L34" s="777">
        <f t="shared" si="7"/>
        <v>0</v>
      </c>
      <c r="M34" s="1391" t="s">
        <v>792</v>
      </c>
      <c r="N34" s="887"/>
      <c r="O34" s="776" t="e">
        <f>+'Plan de Accion 2018'!AN161</f>
        <v>#DIV/0!</v>
      </c>
      <c r="P34" s="777" t="str">
        <f>+'Plan de Accion 2018'!BO161</f>
        <v>No Prog ni Ejec</v>
      </c>
      <c r="Q34" s="870" t="s">
        <v>792</v>
      </c>
      <c r="R34" s="892">
        <f>+'Plan de Accion 2018'!AP161</f>
        <v>0</v>
      </c>
      <c r="S34" s="892">
        <f t="shared" si="9"/>
        <v>0</v>
      </c>
      <c r="T34" s="878" t="s">
        <v>792</v>
      </c>
      <c r="U34" s="336"/>
      <c r="V34" s="776" t="e">
        <f>+'Plan de Accion 2018'!AX161</f>
        <v>#DIV/0!</v>
      </c>
      <c r="W34" s="777" t="str">
        <f>+'Plan de Accion 2018'!BQ161</f>
        <v>No Prog ni Ejec</v>
      </c>
      <c r="X34" s="870" t="s">
        <v>792</v>
      </c>
      <c r="Y34" s="777">
        <f>+'Plan de Accion 2018'!AZ161</f>
        <v>0</v>
      </c>
      <c r="Z34" s="892">
        <f t="shared" si="10"/>
        <v>0</v>
      </c>
      <c r="AA34" s="878" t="s">
        <v>792</v>
      </c>
      <c r="AB34" s="336"/>
      <c r="AC34" s="330">
        <f>+'Plan de Accion 2018'!BH161</f>
        <v>0</v>
      </c>
      <c r="AD34" s="331">
        <f>+'Plan de Accion 2018'!BS161</f>
        <v>0</v>
      </c>
      <c r="AE34" s="870">
        <f t="shared" si="4"/>
        <v>0</v>
      </c>
      <c r="AF34" s="777">
        <f>+'Plan de Accion 2018'!BJ161</f>
        <v>0</v>
      </c>
      <c r="AG34" s="878">
        <f t="shared" si="5"/>
        <v>0</v>
      </c>
      <c r="AH34" s="1119"/>
      <c r="AJ34" s="1127"/>
      <c r="AK34" s="1107"/>
      <c r="AL34" s="321"/>
      <c r="AM34" s="1137"/>
      <c r="AN34" s="1107"/>
      <c r="AO34" s="321"/>
      <c r="AP34" s="1127"/>
      <c r="AQ34" s="1107"/>
      <c r="AR34" s="321"/>
      <c r="AS34" s="1127"/>
      <c r="AT34" s="1107"/>
      <c r="AU34" s="328"/>
      <c r="AV34" s="1116"/>
      <c r="AX34" s="1127"/>
      <c r="AY34" s="1107"/>
      <c r="AZ34" s="321"/>
      <c r="BA34" s="1137"/>
      <c r="BB34" s="1107"/>
      <c r="BC34" s="321"/>
      <c r="BD34" s="1127"/>
      <c r="BE34" s="1107"/>
      <c r="BF34" s="321"/>
      <c r="BG34" s="1127"/>
      <c r="BH34" s="1107"/>
      <c r="BI34" s="328"/>
      <c r="BJ34" s="1116"/>
      <c r="BL34" s="1127"/>
      <c r="BM34" s="1107"/>
      <c r="BN34" s="321"/>
      <c r="BO34" s="1137"/>
      <c r="BP34" s="1107"/>
      <c r="BQ34" s="321"/>
      <c r="BR34" s="1127"/>
      <c r="BS34" s="1107"/>
      <c r="BT34" s="321"/>
      <c r="BU34" s="1127"/>
      <c r="BV34" s="1107"/>
      <c r="BW34" s="328"/>
      <c r="BX34" s="1116"/>
      <c r="BZ34" s="1127"/>
      <c r="CA34" s="1107"/>
      <c r="CB34" s="321"/>
      <c r="CC34" s="1137"/>
      <c r="CD34" s="1107"/>
      <c r="CE34" s="321"/>
      <c r="CF34" s="1127"/>
      <c r="CG34" s="1107"/>
      <c r="CH34" s="321"/>
      <c r="CI34" s="1127"/>
      <c r="CJ34" s="1107"/>
      <c r="CK34" s="328"/>
      <c r="CL34" s="1116"/>
    </row>
    <row r="35" spans="2:90" ht="28.5" x14ac:dyDescent="0.25">
      <c r="B35" s="1177"/>
      <c r="C35" s="1140"/>
      <c r="D35" s="332" t="str">
        <f>+'Plan de Accion 2018'!F9</f>
        <v>Estrategia de Comunicación y  Marketing de la Adres</v>
      </c>
      <c r="E35" s="334" t="str">
        <f>+'Plan de Accion 2018'!B9</f>
        <v>Dirección General</v>
      </c>
      <c r="F35" s="1215"/>
      <c r="G35" s="335"/>
      <c r="H35" s="780">
        <f>+'Plan de Accion 2018'!AD9</f>
        <v>0</v>
      </c>
      <c r="I35" s="777">
        <f>+'Plan de Accion 2018'!BM9</f>
        <v>0</v>
      </c>
      <c r="J35" s="777">
        <f t="shared" si="6"/>
        <v>0</v>
      </c>
      <c r="K35" s="777">
        <f>+'Plan de Accion 2018'!AF9</f>
        <v>0</v>
      </c>
      <c r="L35" s="777">
        <f t="shared" si="7"/>
        <v>0</v>
      </c>
      <c r="M35" s="1391">
        <f t="shared" si="8"/>
        <v>0</v>
      </c>
      <c r="N35" s="887"/>
      <c r="O35" s="776">
        <f>+'Plan de Accion 2018'!AN9</f>
        <v>0</v>
      </c>
      <c r="P35" s="777">
        <f>+'Plan de Accion 2018'!BO9</f>
        <v>0</v>
      </c>
      <c r="Q35" s="870">
        <f t="shared" si="0"/>
        <v>0</v>
      </c>
      <c r="R35" s="892">
        <f>+'Plan de Accion 2018'!AP9</f>
        <v>0</v>
      </c>
      <c r="S35" s="892">
        <f t="shared" si="9"/>
        <v>0</v>
      </c>
      <c r="T35" s="878">
        <f t="shared" si="1"/>
        <v>0</v>
      </c>
      <c r="U35" s="336"/>
      <c r="V35" s="776">
        <f>+'Plan de Accion 2018'!AU9</f>
        <v>0</v>
      </c>
      <c r="W35" s="777">
        <f>+'Plan de Accion 2018'!BQ9</f>
        <v>0</v>
      </c>
      <c r="X35" s="870">
        <f t="shared" si="2"/>
        <v>0</v>
      </c>
      <c r="Y35" s="777">
        <f>+'Plan de Accion 2018'!AZ9</f>
        <v>0</v>
      </c>
      <c r="Z35" s="892">
        <f t="shared" si="10"/>
        <v>0</v>
      </c>
      <c r="AA35" s="878">
        <f t="shared" si="3"/>
        <v>0</v>
      </c>
      <c r="AB35" s="336"/>
      <c r="AC35" s="330">
        <f>+'Plan de Accion 2018'!BE9</f>
        <v>0</v>
      </c>
      <c r="AD35" s="331">
        <f>+'Plan de Accion 2018'!BS9</f>
        <v>0</v>
      </c>
      <c r="AE35" s="870">
        <f t="shared" si="4"/>
        <v>0</v>
      </c>
      <c r="AF35" s="777">
        <f>+'Plan de Accion 2018'!BJ9</f>
        <v>0</v>
      </c>
      <c r="AG35" s="878">
        <f t="shared" si="5"/>
        <v>0</v>
      </c>
      <c r="AH35" s="1119"/>
      <c r="AJ35" s="1127"/>
      <c r="AK35" s="1107"/>
      <c r="AL35" s="321"/>
      <c r="AM35" s="1137"/>
      <c r="AN35" s="1107"/>
      <c r="AO35" s="321"/>
      <c r="AP35" s="1127"/>
      <c r="AQ35" s="1107"/>
      <c r="AR35" s="321"/>
      <c r="AS35" s="1127"/>
      <c r="AT35" s="1107"/>
      <c r="AU35" s="328"/>
      <c r="AV35" s="1116"/>
      <c r="AX35" s="1127"/>
      <c r="AY35" s="1107"/>
      <c r="AZ35" s="321"/>
      <c r="BA35" s="1137"/>
      <c r="BB35" s="1107"/>
      <c r="BC35" s="321"/>
      <c r="BD35" s="1127"/>
      <c r="BE35" s="1107"/>
      <c r="BF35" s="321"/>
      <c r="BG35" s="1127"/>
      <c r="BH35" s="1107"/>
      <c r="BI35" s="328"/>
      <c r="BJ35" s="1116"/>
      <c r="BL35" s="1127"/>
      <c r="BM35" s="1107"/>
      <c r="BN35" s="321"/>
      <c r="BO35" s="1137"/>
      <c r="BP35" s="1107"/>
      <c r="BQ35" s="321"/>
      <c r="BR35" s="1127"/>
      <c r="BS35" s="1107"/>
      <c r="BT35" s="321"/>
      <c r="BU35" s="1127"/>
      <c r="BV35" s="1107"/>
      <c r="BW35" s="328"/>
      <c r="BX35" s="1116"/>
      <c r="BZ35" s="1127"/>
      <c r="CA35" s="1107"/>
      <c r="CB35" s="321"/>
      <c r="CC35" s="1137"/>
      <c r="CD35" s="1107"/>
      <c r="CE35" s="321"/>
      <c r="CF35" s="1127"/>
      <c r="CG35" s="1107"/>
      <c r="CH35" s="321"/>
      <c r="CI35" s="1127"/>
      <c r="CJ35" s="1107"/>
      <c r="CK35" s="328"/>
      <c r="CL35" s="1116"/>
    </row>
    <row r="36" spans="2:90" ht="43.5" thickBot="1" x14ac:dyDescent="0.3">
      <c r="B36" s="1177"/>
      <c r="C36" s="1141"/>
      <c r="D36" s="337" t="str">
        <f>+'Plan de Accion 2018'!F142</f>
        <v>Modelo Integrado de Planeación</v>
      </c>
      <c r="E36" s="338" t="str">
        <f>+'Plan de Accion 2018'!B142</f>
        <v>Oficina Asesora de Planeación y Control de Riegos</v>
      </c>
      <c r="F36" s="339" t="str">
        <f>+'Plan de Accion 2018'!R142</f>
        <v>Ejecución del Trimestre / Presupuesto Proyectado del Trimestre</v>
      </c>
      <c r="G36" s="335"/>
      <c r="H36" s="340">
        <f>+'Plan de Accion 2018'!AD142</f>
        <v>0.5444444206511696</v>
      </c>
      <c r="I36" s="928">
        <f>+'Plan de Accion 2018'!BM142</f>
        <v>0.5444444206511696</v>
      </c>
      <c r="J36" s="928">
        <f t="shared" si="6"/>
        <v>0.5444444206511696</v>
      </c>
      <c r="K36" s="928">
        <f>+'Plan de Accion 2018'!AF142</f>
        <v>0.1361111051627924</v>
      </c>
      <c r="L36" s="928">
        <f t="shared" si="7"/>
        <v>0.1361111051627924</v>
      </c>
      <c r="M36" s="930">
        <f t="shared" si="8"/>
        <v>0.1361111051627924</v>
      </c>
      <c r="N36" s="887"/>
      <c r="O36" s="340">
        <f>+'Plan de Accion 2018'!AK142</f>
        <v>0.25</v>
      </c>
      <c r="P36" s="890">
        <f>+'Plan de Accion 2018'!BO142</f>
        <v>1</v>
      </c>
      <c r="Q36" s="872">
        <f t="shared" si="0"/>
        <v>1</v>
      </c>
      <c r="R36" s="892">
        <f>+'Plan de Accion 2018'!AP142</f>
        <v>0.3861111051627924</v>
      </c>
      <c r="S36" s="891">
        <f t="shared" si="9"/>
        <v>0.3861111051627924</v>
      </c>
      <c r="T36" s="878">
        <f t="shared" si="1"/>
        <v>0.3861111051627924</v>
      </c>
      <c r="U36" s="336"/>
      <c r="V36" s="340">
        <f>+'Plan de Accion 2018'!AU142</f>
        <v>0</v>
      </c>
      <c r="W36" s="890">
        <f>+'Plan de Accion 2018'!BQ142</f>
        <v>0</v>
      </c>
      <c r="X36" s="870">
        <f t="shared" si="2"/>
        <v>0</v>
      </c>
      <c r="Y36" s="890">
        <f>+'Plan de Accion 2018'!AZ142</f>
        <v>0.3861111051627924</v>
      </c>
      <c r="Z36" s="892">
        <f t="shared" si="10"/>
        <v>0.3861111051627924</v>
      </c>
      <c r="AA36" s="878">
        <f t="shared" si="3"/>
        <v>0.3861111051627924</v>
      </c>
      <c r="AB36" s="336"/>
      <c r="AC36" s="340">
        <f>+'Plan de Accion 2018'!BE142</f>
        <v>0</v>
      </c>
      <c r="AD36" s="341">
        <f>+'Plan de Accion 2018'!BS142</f>
        <v>0</v>
      </c>
      <c r="AE36" s="870">
        <f t="shared" si="4"/>
        <v>0</v>
      </c>
      <c r="AF36" s="885">
        <f>+'Plan de Accion 2018'!BJ142</f>
        <v>0.3861111051627924</v>
      </c>
      <c r="AG36" s="878">
        <f t="shared" si="5"/>
        <v>0.3861111051627924</v>
      </c>
      <c r="AH36" s="1119"/>
      <c r="AJ36" s="1127"/>
      <c r="AK36" s="1107"/>
      <c r="AL36" s="321"/>
      <c r="AM36" s="1137"/>
      <c r="AN36" s="1107"/>
      <c r="AO36" s="321"/>
      <c r="AP36" s="1127"/>
      <c r="AQ36" s="1107"/>
      <c r="AR36" s="321"/>
      <c r="AS36" s="1127"/>
      <c r="AT36" s="1107"/>
      <c r="AU36" s="328"/>
      <c r="AV36" s="1116"/>
      <c r="AX36" s="1127"/>
      <c r="AY36" s="1107"/>
      <c r="AZ36" s="321"/>
      <c r="BA36" s="1137"/>
      <c r="BB36" s="1107"/>
      <c r="BC36" s="321"/>
      <c r="BD36" s="1127"/>
      <c r="BE36" s="1107"/>
      <c r="BF36" s="321"/>
      <c r="BG36" s="1127"/>
      <c r="BH36" s="1107"/>
      <c r="BI36" s="328"/>
      <c r="BJ36" s="1116"/>
      <c r="BL36" s="1127"/>
      <c r="BM36" s="1107"/>
      <c r="BN36" s="321"/>
      <c r="BO36" s="1137"/>
      <c r="BP36" s="1107"/>
      <c r="BQ36" s="321"/>
      <c r="BR36" s="1127"/>
      <c r="BS36" s="1107"/>
      <c r="BT36" s="321"/>
      <c r="BU36" s="1127"/>
      <c r="BV36" s="1107"/>
      <c r="BW36" s="328"/>
      <c r="BX36" s="1116"/>
      <c r="BZ36" s="1127"/>
      <c r="CA36" s="1107"/>
      <c r="CB36" s="321"/>
      <c r="CC36" s="1137"/>
      <c r="CD36" s="1107"/>
      <c r="CE36" s="321"/>
      <c r="CF36" s="1127"/>
      <c r="CG36" s="1107"/>
      <c r="CH36" s="321"/>
      <c r="CI36" s="1127"/>
      <c r="CJ36" s="1107"/>
      <c r="CK36" s="328"/>
      <c r="CL36" s="1116"/>
    </row>
    <row r="37" spans="2:90" ht="15.75" thickBot="1" x14ac:dyDescent="0.25">
      <c r="B37" s="1178"/>
      <c r="C37" s="1142" t="s">
        <v>798</v>
      </c>
      <c r="D37" s="1143"/>
      <c r="E37" s="1143"/>
      <c r="F37" s="1144"/>
      <c r="G37" s="342"/>
      <c r="H37" s="343" t="s">
        <v>792</v>
      </c>
      <c r="I37" s="344">
        <f>SUM(I15:I36)/COUNT(I15:I36)</f>
        <v>0.4489851806207461</v>
      </c>
      <c r="J37" s="344">
        <f t="shared" si="6"/>
        <v>0.4489851806207461</v>
      </c>
      <c r="K37" s="344">
        <f>SUM(K18:K36,K15:K17)/COUNT(K18:K36,K15:K17)</f>
        <v>9.3498122233454814E-2</v>
      </c>
      <c r="L37" s="918">
        <f>SUM(L18:L36,L15:L17)/COUNT(L18:L36,L15:L17)</f>
        <v>8.5310704505297333E-2</v>
      </c>
      <c r="M37" s="888">
        <f>SUM(M18:M36,M15:M17)/COUNT(M18:M36,M15:M17)</f>
        <v>9.8780815742975855E-2</v>
      </c>
      <c r="N37" s="1404"/>
      <c r="O37" s="343" t="s">
        <v>792</v>
      </c>
      <c r="P37" s="876">
        <f>SUM(P15:P36)/COUNT(P15:P36)</f>
        <v>0.45929624828669652</v>
      </c>
      <c r="Q37" s="876">
        <f>SUM(Q15:Q36)/COUNT(Q15:Q36)</f>
        <v>0.45299801882388308</v>
      </c>
      <c r="R37" s="880">
        <f>SUM(R18:R36,R15:R17)/COUNT(R18:R36,R15:R17)</f>
        <v>0.21003498935213091</v>
      </c>
      <c r="S37" s="918">
        <f>SUM(S18:S36,S15:S17)/COUNT(S18:S36,S15:S17)</f>
        <v>0.20882728440542522</v>
      </c>
      <c r="T37" s="888">
        <f>SUM(T18:T36,T15:T17)/COUNT(T18:T36,T15:T17)</f>
        <v>0.24180001352207131</v>
      </c>
      <c r="U37" s="345"/>
      <c r="V37" s="343" t="s">
        <v>792</v>
      </c>
      <c r="W37" s="344">
        <f>SUM(W15:W36)/COUNT(W15:W36)</f>
        <v>0</v>
      </c>
      <c r="X37" s="344">
        <f>SUM(X15:X36)/COUNT(X15:X36)</f>
        <v>0</v>
      </c>
      <c r="Y37" s="876">
        <f>SUM(Y18:Y36,Y15:Y17)/COUNT(Y18:Y36,Y15:Y17)</f>
        <v>0.21003498935213091</v>
      </c>
      <c r="Z37" s="344">
        <f>SUM(Z18:Z36,Z15:Z17)/COUNT(Z18:Z36,Z15:Z17)</f>
        <v>0.21003498935213091</v>
      </c>
      <c r="AA37" s="346">
        <f>SUM(AA18:AA36,AA15:AA17)/COUNT(AA18:AA36,AA15:AA17)</f>
        <v>0.22003665551175619</v>
      </c>
      <c r="AB37" s="345"/>
      <c r="AC37" s="343" t="s">
        <v>792</v>
      </c>
      <c r="AD37" s="344">
        <f>SUM(AD15:AD36)/COUNT(AD15:AD36)</f>
        <v>0</v>
      </c>
      <c r="AE37" s="344">
        <f>SUM(AE15:AE36)/COUNT(AE15:AE36)</f>
        <v>0</v>
      </c>
      <c r="AF37" s="876">
        <f>SUM(AF18:AF36,AF15:AF17)/COUNT(AF18:AF36,AF15:AF17)</f>
        <v>0.21003498935213091</v>
      </c>
      <c r="AG37" s="346">
        <f>SUM(AG18:AG36,AG15:AG17)/COUNT(AG18:AG36,AG15:AG17)</f>
        <v>0.21003498935213091</v>
      </c>
      <c r="AH37" s="1119"/>
      <c r="AJ37" s="1127"/>
      <c r="AK37" s="1107"/>
      <c r="AL37" s="321"/>
      <c r="AM37" s="1137"/>
      <c r="AN37" s="1107"/>
      <c r="AO37" s="321"/>
      <c r="AP37" s="1127"/>
      <c r="AQ37" s="1107"/>
      <c r="AR37" s="321"/>
      <c r="AS37" s="1127"/>
      <c r="AT37" s="1107"/>
      <c r="AU37" s="328"/>
      <c r="AV37" s="1116"/>
      <c r="AX37" s="1127"/>
      <c r="AY37" s="1107"/>
      <c r="AZ37" s="321"/>
      <c r="BA37" s="1137"/>
      <c r="BB37" s="1107"/>
      <c r="BC37" s="321"/>
      <c r="BD37" s="1127"/>
      <c r="BE37" s="1107"/>
      <c r="BF37" s="321"/>
      <c r="BG37" s="1127"/>
      <c r="BH37" s="1107"/>
      <c r="BI37" s="328"/>
      <c r="BJ37" s="1116"/>
      <c r="BL37" s="1127"/>
      <c r="BM37" s="1107"/>
      <c r="BN37" s="321"/>
      <c r="BO37" s="1137"/>
      <c r="BP37" s="1107"/>
      <c r="BQ37" s="321"/>
      <c r="BR37" s="1127"/>
      <c r="BS37" s="1107"/>
      <c r="BT37" s="321"/>
      <c r="BU37" s="1127"/>
      <c r="BV37" s="1107"/>
      <c r="BW37" s="328"/>
      <c r="BX37" s="1116"/>
      <c r="BZ37" s="1127"/>
      <c r="CA37" s="1107"/>
      <c r="CB37" s="321"/>
      <c r="CC37" s="1137"/>
      <c r="CD37" s="1107"/>
      <c r="CE37" s="321"/>
      <c r="CF37" s="1127"/>
      <c r="CG37" s="1107"/>
      <c r="CH37" s="321"/>
      <c r="CI37" s="1127"/>
      <c r="CJ37" s="1107"/>
      <c r="CK37" s="328"/>
      <c r="CL37" s="1116"/>
    </row>
    <row r="38" spans="2:90" ht="16.5" customHeight="1" thickBot="1" x14ac:dyDescent="0.25">
      <c r="B38" s="1177"/>
      <c r="C38" s="1147" t="s">
        <v>145</v>
      </c>
      <c r="D38" s="1100" t="str">
        <f>+'Plan de Accion 2018'!F15</f>
        <v>Seguimiento Ejecución Presupuestal de recursos administrados URA</v>
      </c>
      <c r="E38" s="1100" t="str">
        <f>+'Plan de Accion 2018'!B27</f>
        <v>Dirección de Gestión de Recursos Financieros de Salud</v>
      </c>
      <c r="F38" s="1159" t="str">
        <f>+'Plan de Accion 2018'!R27</f>
        <v>Ejecución del Trimestre / Presupuesto Proyectado del Trimestre</v>
      </c>
      <c r="G38" s="321"/>
      <c r="H38" s="600">
        <f>+'Plan de Accion 2018'!AA15</f>
        <v>0.24536724522564832</v>
      </c>
      <c r="I38" s="929">
        <f>+'Plan de Accion 2018'!BM15</f>
        <v>0.98146898090259327</v>
      </c>
      <c r="J38" s="929">
        <f t="shared" si="6"/>
        <v>0.98146898090259327</v>
      </c>
      <c r="K38" s="929">
        <f>+'Plan de Accion 2018'!AF15</f>
        <v>0.24536724522564832</v>
      </c>
      <c r="L38" s="929">
        <f t="shared" si="7"/>
        <v>0.24536724522564832</v>
      </c>
      <c r="M38" s="931">
        <f t="shared" si="8"/>
        <v>0.24536724522564832</v>
      </c>
      <c r="N38" s="883"/>
      <c r="O38" s="322">
        <f>+'Plan de Accion 2018'!AK15</f>
        <v>0.24536724522564832</v>
      </c>
      <c r="P38" s="892">
        <f>+'Plan de Accion 2018'!BO15</f>
        <v>0.98146898090259327</v>
      </c>
      <c r="Q38" s="870">
        <f t="shared" si="0"/>
        <v>0.98146898090259327</v>
      </c>
      <c r="R38" s="892">
        <f>+'Plan de Accion 2018'!AP15</f>
        <v>0.49073449045129663</v>
      </c>
      <c r="S38" s="892">
        <f t="shared" si="9"/>
        <v>0.49073449045129663</v>
      </c>
      <c r="T38" s="878">
        <f t="shared" si="1"/>
        <v>0.49073449045129663</v>
      </c>
      <c r="U38" s="324"/>
      <c r="V38" s="322">
        <f>+'Plan de Accion 2018'!AU15</f>
        <v>0</v>
      </c>
      <c r="W38" s="892">
        <f>+'Plan de Accion 2018'!BQ15</f>
        <v>0</v>
      </c>
      <c r="X38" s="870">
        <f t="shared" si="2"/>
        <v>0</v>
      </c>
      <c r="Y38" s="892">
        <f>+'Plan de Accion 2018'!AZ15</f>
        <v>0.49073449045129663</v>
      </c>
      <c r="Z38" s="892">
        <f>IF(Y38&gt;75%,75%,Y38)</f>
        <v>0.49073449045129663</v>
      </c>
      <c r="AA38" s="878">
        <f t="shared" si="3"/>
        <v>0.49073449045129663</v>
      </c>
      <c r="AB38" s="324"/>
      <c r="AC38" s="322">
        <f>+'Plan de Accion 2018'!BE15</f>
        <v>0</v>
      </c>
      <c r="AD38" s="323">
        <f>+'Plan de Accion 2018'!BS15</f>
        <v>0</v>
      </c>
      <c r="AE38" s="870">
        <f t="shared" si="4"/>
        <v>0</v>
      </c>
      <c r="AF38" s="886">
        <f>+'Plan de Accion 2018'!BJ15</f>
        <v>0.49073449045129663</v>
      </c>
      <c r="AG38" s="878">
        <f t="shared" si="5"/>
        <v>0.49073449045129663</v>
      </c>
      <c r="AH38" s="1120"/>
      <c r="AJ38" s="1128"/>
      <c r="AK38" s="1108"/>
      <c r="AL38" s="321"/>
      <c r="AM38" s="1138"/>
      <c r="AN38" s="1108"/>
      <c r="AO38" s="321"/>
      <c r="AP38" s="1128"/>
      <c r="AQ38" s="1108"/>
      <c r="AR38" s="321"/>
      <c r="AS38" s="1128"/>
      <c r="AT38" s="1108"/>
      <c r="AU38" s="328"/>
      <c r="AV38" s="1117"/>
      <c r="AX38" s="1128"/>
      <c r="AY38" s="1108"/>
      <c r="AZ38" s="321"/>
      <c r="BA38" s="1138"/>
      <c r="BB38" s="1108"/>
      <c r="BC38" s="321"/>
      <c r="BD38" s="1128"/>
      <c r="BE38" s="1108"/>
      <c r="BF38" s="321"/>
      <c r="BG38" s="1128"/>
      <c r="BH38" s="1108"/>
      <c r="BI38" s="328"/>
      <c r="BJ38" s="1117"/>
      <c r="BL38" s="1128"/>
      <c r="BM38" s="1108"/>
      <c r="BN38" s="321"/>
      <c r="BO38" s="1138"/>
      <c r="BP38" s="1108"/>
      <c r="BQ38" s="321"/>
      <c r="BR38" s="1128"/>
      <c r="BS38" s="1108"/>
      <c r="BT38" s="321"/>
      <c r="BU38" s="1128"/>
      <c r="BV38" s="1108"/>
      <c r="BW38" s="328"/>
      <c r="BX38" s="1117"/>
      <c r="BZ38" s="1128"/>
      <c r="CA38" s="1108"/>
      <c r="CB38" s="321"/>
      <c r="CC38" s="1138"/>
      <c r="CD38" s="1108"/>
      <c r="CE38" s="321"/>
      <c r="CF38" s="1128"/>
      <c r="CG38" s="1108"/>
      <c r="CH38" s="321"/>
      <c r="CI38" s="1128"/>
      <c r="CJ38" s="1108"/>
      <c r="CK38" s="328"/>
      <c r="CL38" s="1117"/>
    </row>
    <row r="39" spans="2:90" ht="15" x14ac:dyDescent="0.2">
      <c r="B39" s="1177"/>
      <c r="C39" s="1140"/>
      <c r="D39" s="1158"/>
      <c r="E39" s="1158"/>
      <c r="F39" s="1160"/>
      <c r="G39" s="321"/>
      <c r="H39" s="388">
        <f>+'Plan de Accion 2018'!AA16</f>
        <v>0.17572054186308017</v>
      </c>
      <c r="I39" s="777">
        <f>+'Plan de Accion 2018'!BM16</f>
        <v>0.70288216745232068</v>
      </c>
      <c r="J39" s="777">
        <f t="shared" si="6"/>
        <v>0.70288216745232068</v>
      </c>
      <c r="K39" s="777">
        <f>+'Plan de Accion 2018'!AF16</f>
        <v>0.12826386165552342</v>
      </c>
      <c r="L39" s="777">
        <f t="shared" si="7"/>
        <v>0.12826386165552342</v>
      </c>
      <c r="M39" s="1391">
        <f t="shared" si="8"/>
        <v>0.12826386165552342</v>
      </c>
      <c r="N39" s="883"/>
      <c r="O39" s="776">
        <f>+'Plan de Accion 2018'!AK16</f>
        <v>0.17339561109952031</v>
      </c>
      <c r="P39" s="777">
        <f>+'Plan de Accion 2018'!BO16</f>
        <v>0.69358244439808125</v>
      </c>
      <c r="Q39" s="870">
        <f t="shared" si="0"/>
        <v>0.69358244439808125</v>
      </c>
      <c r="R39" s="892">
        <f>+'Plan de Accion 2018'!AP16</f>
        <v>0.25483068439542439</v>
      </c>
      <c r="S39" s="892">
        <f t="shared" si="9"/>
        <v>0.25483068439542439</v>
      </c>
      <c r="T39" s="878">
        <f t="shared" si="1"/>
        <v>0.25483068439542439</v>
      </c>
      <c r="U39" s="324"/>
      <c r="V39" s="776">
        <f>+'Plan de Accion 2018'!AU16</f>
        <v>0</v>
      </c>
      <c r="W39" s="777">
        <f>+'Plan de Accion 2018'!BQ16</f>
        <v>0</v>
      </c>
      <c r="X39" s="870">
        <f t="shared" si="2"/>
        <v>0</v>
      </c>
      <c r="Y39" s="777">
        <f>+'Plan de Accion 2018'!AY16</f>
        <v>0.34911615296260046</v>
      </c>
      <c r="Z39" s="892">
        <f t="shared" ref="Z39:Z64" si="11">IF(Y39&gt;75%,75%,Y39)</f>
        <v>0.34911615296260046</v>
      </c>
      <c r="AA39" s="878">
        <f t="shared" si="3"/>
        <v>0.34911615296260046</v>
      </c>
      <c r="AB39" s="324"/>
      <c r="AC39" s="330">
        <f>+'Plan de Accion 2018'!BE16</f>
        <v>0</v>
      </c>
      <c r="AD39" s="331">
        <f>+'Plan de Accion 2018'!BS16</f>
        <v>0</v>
      </c>
      <c r="AE39" s="870">
        <f t="shared" si="4"/>
        <v>0</v>
      </c>
      <c r="AF39" s="777">
        <f>+'Plan de Accion 2018'!BJ16</f>
        <v>0.25483068439542439</v>
      </c>
      <c r="AG39" s="878">
        <f t="shared" si="5"/>
        <v>0.25483068439542439</v>
      </c>
      <c r="AH39" s="347"/>
      <c r="AJ39" s="1106"/>
      <c r="AK39" s="1106"/>
      <c r="AL39" s="321"/>
      <c r="AM39" s="1112"/>
      <c r="AN39" s="1106"/>
      <c r="AO39" s="321"/>
      <c r="AP39" s="1106"/>
      <c r="AQ39" s="1106"/>
      <c r="AR39" s="321"/>
      <c r="AS39" s="1106"/>
      <c r="AT39" s="1106"/>
      <c r="AU39" s="328"/>
      <c r="AV39" s="348"/>
      <c r="AX39" s="1106"/>
      <c r="AY39" s="1106"/>
      <c r="AZ39" s="321"/>
      <c r="BA39" s="1112"/>
      <c r="BB39" s="1106"/>
      <c r="BC39" s="321"/>
      <c r="BD39" s="1106"/>
      <c r="BE39" s="1106"/>
      <c r="BF39" s="321"/>
      <c r="BG39" s="1106"/>
      <c r="BH39" s="1106"/>
      <c r="BI39" s="328"/>
      <c r="BJ39" s="348"/>
      <c r="BL39" s="1106"/>
      <c r="BM39" s="1106"/>
      <c r="BN39" s="321"/>
      <c r="BO39" s="1112"/>
      <c r="BP39" s="1106"/>
      <c r="BQ39" s="321"/>
      <c r="BR39" s="1106"/>
      <c r="BS39" s="1106"/>
      <c r="BT39" s="321"/>
      <c r="BU39" s="1106"/>
      <c r="BV39" s="1106"/>
      <c r="BW39" s="328"/>
      <c r="BX39" s="348"/>
      <c r="BZ39" s="1106"/>
      <c r="CA39" s="1106"/>
      <c r="CB39" s="321"/>
      <c r="CC39" s="1112"/>
      <c r="CD39" s="1106"/>
      <c r="CE39" s="321"/>
      <c r="CF39" s="1106"/>
      <c r="CG39" s="1106"/>
      <c r="CH39" s="321"/>
      <c r="CI39" s="1106"/>
      <c r="CJ39" s="1106"/>
      <c r="CK39" s="328"/>
      <c r="CL39" s="348"/>
    </row>
    <row r="40" spans="2:90" ht="15" x14ac:dyDescent="0.2">
      <c r="B40" s="1177"/>
      <c r="C40" s="1140"/>
      <c r="D40" s="1158"/>
      <c r="E40" s="1158"/>
      <c r="F40" s="1160"/>
      <c r="G40" s="321"/>
      <c r="H40" s="388">
        <f>+'Plan de Accion 2018'!AA17</f>
        <v>0.48054275674666669</v>
      </c>
      <c r="I40" s="777">
        <f>+'Plan de Accion 2018'!BM17</f>
        <v>1.9221710269866668</v>
      </c>
      <c r="J40" s="777">
        <f t="shared" si="6"/>
        <v>1</v>
      </c>
      <c r="K40" s="777">
        <f>+'Plan de Accion 2018'!AF17</f>
        <v>0.24027137837333334</v>
      </c>
      <c r="L40" s="777">
        <f t="shared" si="7"/>
        <v>0.24027137837333334</v>
      </c>
      <c r="M40" s="1391">
        <f t="shared" si="8"/>
        <v>0.24027137837333334</v>
      </c>
      <c r="N40" s="883">
        <v>1</v>
      </c>
      <c r="O40" s="776">
        <f>+'Plan de Accion 2018'!AK17</f>
        <v>0.16864007183833335</v>
      </c>
      <c r="P40" s="777">
        <f>+'Plan de Accion 2018'!BO17</f>
        <v>0.57819453201714288</v>
      </c>
      <c r="Q40" s="870">
        <f t="shared" si="0"/>
        <v>0.57819453201714288</v>
      </c>
      <c r="R40" s="892">
        <f>+'Plan de Accion 2018'!AP17</f>
        <v>0.40891145021166664</v>
      </c>
      <c r="S40" s="892">
        <f t="shared" si="9"/>
        <v>0.40891145021166664</v>
      </c>
      <c r="T40" s="878">
        <f t="shared" si="1"/>
        <v>0.40891145021166664</v>
      </c>
      <c r="U40" s="324"/>
      <c r="V40" s="776">
        <f>+'Plan de Accion 2018'!AU17</f>
        <v>0</v>
      </c>
      <c r="W40" s="777">
        <f>+'Plan de Accion 2018'!BQ17</f>
        <v>0</v>
      </c>
      <c r="X40" s="870">
        <f t="shared" si="2"/>
        <v>0</v>
      </c>
      <c r="Y40" s="777">
        <f>+'Plan de Accion 2018'!AZ17</f>
        <v>0.40891145021166664</v>
      </c>
      <c r="Z40" s="892">
        <f t="shared" si="11"/>
        <v>0.40891145021166664</v>
      </c>
      <c r="AA40" s="878">
        <f t="shared" si="3"/>
        <v>0.40891145021166664</v>
      </c>
      <c r="AB40" s="324"/>
      <c r="AC40" s="330">
        <f>+'Plan de Accion 2018'!BE17</f>
        <v>0</v>
      </c>
      <c r="AD40" s="331">
        <f>+'Plan de Accion 2018'!BS17</f>
        <v>0</v>
      </c>
      <c r="AE40" s="870">
        <f t="shared" si="4"/>
        <v>0</v>
      </c>
      <c r="AF40" s="777">
        <f>+'Plan de Accion 2018'!BJ17</f>
        <v>0.40891145021166664</v>
      </c>
      <c r="AG40" s="878">
        <f t="shared" si="5"/>
        <v>0.40891145021166664</v>
      </c>
      <c r="AH40" s="349"/>
      <c r="AJ40" s="1107"/>
      <c r="AK40" s="1107"/>
      <c r="AL40" s="321"/>
      <c r="AM40" s="1113"/>
      <c r="AN40" s="1107"/>
      <c r="AO40" s="321"/>
      <c r="AP40" s="1107"/>
      <c r="AQ40" s="1107"/>
      <c r="AR40" s="321"/>
      <c r="AS40" s="1107"/>
      <c r="AT40" s="1107"/>
      <c r="AU40" s="328"/>
      <c r="AV40" s="350"/>
      <c r="AX40" s="1107"/>
      <c r="AY40" s="1107"/>
      <c r="AZ40" s="321"/>
      <c r="BA40" s="1113"/>
      <c r="BB40" s="1107"/>
      <c r="BC40" s="321"/>
      <c r="BD40" s="1107"/>
      <c r="BE40" s="1107"/>
      <c r="BF40" s="321"/>
      <c r="BG40" s="1107"/>
      <c r="BH40" s="1107"/>
      <c r="BI40" s="328"/>
      <c r="BJ40" s="350"/>
      <c r="BL40" s="1107"/>
      <c r="BM40" s="1107"/>
      <c r="BN40" s="321"/>
      <c r="BO40" s="1113"/>
      <c r="BP40" s="1107"/>
      <c r="BQ40" s="321"/>
      <c r="BR40" s="1107"/>
      <c r="BS40" s="1107"/>
      <c r="BT40" s="321"/>
      <c r="BU40" s="1107"/>
      <c r="BV40" s="1107"/>
      <c r="BW40" s="328"/>
      <c r="BX40" s="350"/>
      <c r="BZ40" s="1107"/>
      <c r="CA40" s="1107"/>
      <c r="CB40" s="321"/>
      <c r="CC40" s="1113"/>
      <c r="CD40" s="1107"/>
      <c r="CE40" s="321"/>
      <c r="CF40" s="1107"/>
      <c r="CG40" s="1107"/>
      <c r="CH40" s="321"/>
      <c r="CI40" s="1107"/>
      <c r="CJ40" s="1107"/>
      <c r="CK40" s="328"/>
      <c r="CL40" s="350"/>
    </row>
    <row r="41" spans="2:90" ht="15.75" thickBot="1" x14ac:dyDescent="0.25">
      <c r="B41" s="1177"/>
      <c r="C41" s="1140"/>
      <c r="D41" s="1158"/>
      <c r="E41" s="1158"/>
      <c r="F41" s="1160"/>
      <c r="G41" s="321"/>
      <c r="H41" s="388">
        <f>+'Plan de Accion 2018'!AA18</f>
        <v>0.21990997899772854</v>
      </c>
      <c r="I41" s="777">
        <f>+'Plan de Accion 2018'!BM18</f>
        <v>0.87963991599091418</v>
      </c>
      <c r="J41" s="777">
        <f t="shared" si="6"/>
        <v>0.87963991599091418</v>
      </c>
      <c r="K41" s="777">
        <f>+'Plan de Accion 2018'!AF18</f>
        <v>0.22210578643894718</v>
      </c>
      <c r="L41" s="777">
        <f t="shared" si="7"/>
        <v>0.22210578643894718</v>
      </c>
      <c r="M41" s="1391">
        <f t="shared" si="8"/>
        <v>0.22210578643894718</v>
      </c>
      <c r="N41" s="883"/>
      <c r="O41" s="776">
        <f>+'Plan de Accion 2018'!AK18</f>
        <v>0.24918862736247427</v>
      </c>
      <c r="P41" s="884">
        <f>+'Plan de Accion 2018'!BO18</f>
        <v>1.0000831290158649</v>
      </c>
      <c r="Q41" s="870">
        <f t="shared" si="0"/>
        <v>1</v>
      </c>
      <c r="R41" s="892">
        <f>+'Plan de Accion 2018'!AP18</f>
        <v>0.47129441380142151</v>
      </c>
      <c r="S41" s="892">
        <f t="shared" si="9"/>
        <v>0.47129441380142151</v>
      </c>
      <c r="T41" s="878">
        <f t="shared" si="1"/>
        <v>0.47129441380142151</v>
      </c>
      <c r="U41" s="324"/>
      <c r="V41" s="776">
        <f>+'Plan de Accion 2018'!AU18</f>
        <v>0</v>
      </c>
      <c r="W41" s="777">
        <f>+'Plan de Accion 2018'!BQ18</f>
        <v>0</v>
      </c>
      <c r="X41" s="870">
        <f t="shared" si="2"/>
        <v>0</v>
      </c>
      <c r="Y41" s="777">
        <f>+'Plan de Accion 2018'!AZ18</f>
        <v>0.47129441380142151</v>
      </c>
      <c r="Z41" s="892">
        <f t="shared" si="11"/>
        <v>0.47129441380142151</v>
      </c>
      <c r="AA41" s="878">
        <f t="shared" si="3"/>
        <v>0.47129441380142151</v>
      </c>
      <c r="AB41" s="324"/>
      <c r="AC41" s="330">
        <f>+'Plan de Accion 2018'!BE18</f>
        <v>0</v>
      </c>
      <c r="AD41" s="331">
        <f>+'Plan de Accion 2018'!BS18</f>
        <v>0</v>
      </c>
      <c r="AE41" s="870">
        <f t="shared" si="4"/>
        <v>0</v>
      </c>
      <c r="AF41" s="777">
        <f>+'Plan de Accion 2018'!BJ18</f>
        <v>0.47129441380142151</v>
      </c>
      <c r="AG41" s="878">
        <f t="shared" si="5"/>
        <v>0.47129441380142151</v>
      </c>
      <c r="AH41" s="351"/>
      <c r="AJ41" s="1108"/>
      <c r="AK41" s="1108"/>
      <c r="AL41" s="321"/>
      <c r="AM41" s="1114"/>
      <c r="AN41" s="1108"/>
      <c r="AO41" s="321"/>
      <c r="AP41" s="1108"/>
      <c r="AQ41" s="1108"/>
      <c r="AR41" s="321"/>
      <c r="AS41" s="1108"/>
      <c r="AT41" s="1108"/>
      <c r="AU41" s="328"/>
      <c r="AV41" s="352"/>
      <c r="AX41" s="1108"/>
      <c r="AY41" s="1108"/>
      <c r="AZ41" s="321"/>
      <c r="BA41" s="1114"/>
      <c r="BB41" s="1108"/>
      <c r="BC41" s="321"/>
      <c r="BD41" s="1108"/>
      <c r="BE41" s="1108"/>
      <c r="BF41" s="321"/>
      <c r="BG41" s="1108"/>
      <c r="BH41" s="1108"/>
      <c r="BI41" s="328"/>
      <c r="BJ41" s="352"/>
      <c r="BL41" s="1108"/>
      <c r="BM41" s="1108"/>
      <c r="BN41" s="321"/>
      <c r="BO41" s="1114"/>
      <c r="BP41" s="1108"/>
      <c r="BQ41" s="321"/>
      <c r="BR41" s="1108"/>
      <c r="BS41" s="1108"/>
      <c r="BT41" s="321"/>
      <c r="BU41" s="1108"/>
      <c r="BV41" s="1108"/>
      <c r="BW41" s="328"/>
      <c r="BX41" s="352"/>
      <c r="BZ41" s="1108"/>
      <c r="CA41" s="1108"/>
      <c r="CB41" s="321"/>
      <c r="CC41" s="1114"/>
      <c r="CD41" s="1108"/>
      <c r="CE41" s="321"/>
      <c r="CF41" s="1108"/>
      <c r="CG41" s="1108"/>
      <c r="CH41" s="321"/>
      <c r="CI41" s="1108"/>
      <c r="CJ41" s="1108"/>
      <c r="CK41" s="328"/>
      <c r="CL41" s="352"/>
    </row>
    <row r="42" spans="2:90" ht="15" x14ac:dyDescent="0.2">
      <c r="B42" s="1177"/>
      <c r="C42" s="1140"/>
      <c r="D42" s="1158"/>
      <c r="E42" s="1158"/>
      <c r="F42" s="1160"/>
      <c r="G42" s="321"/>
      <c r="H42" s="388">
        <f>+'Plan de Accion 2018'!AA19</f>
        <v>0.25406609209837994</v>
      </c>
      <c r="I42" s="777">
        <f>+'Plan de Accion 2018'!BM19</f>
        <v>1.0162643683935197</v>
      </c>
      <c r="J42" s="777">
        <f t="shared" si="6"/>
        <v>1</v>
      </c>
      <c r="K42" s="777">
        <f>+'Plan de Accion 2018'!AF19</f>
        <v>0.28243388862189744</v>
      </c>
      <c r="L42" s="777">
        <f t="shared" si="7"/>
        <v>0.25</v>
      </c>
      <c r="M42" s="1391">
        <f t="shared" si="8"/>
        <v>0.25</v>
      </c>
      <c r="N42" s="883">
        <v>1</v>
      </c>
      <c r="O42" s="776">
        <f>+'Plan de Accion 2018'!AK19</f>
        <v>0.29551227405844133</v>
      </c>
      <c r="P42" s="777">
        <f>+'Plan de Accion 2018'!BO19</f>
        <v>1</v>
      </c>
      <c r="Q42" s="870">
        <f t="shared" si="0"/>
        <v>1</v>
      </c>
      <c r="R42" s="892">
        <f>+'Plan de Accion 2018'!AP19</f>
        <v>0.57794616268033883</v>
      </c>
      <c r="S42" s="892">
        <f t="shared" si="9"/>
        <v>0.5</v>
      </c>
      <c r="T42" s="878">
        <f t="shared" si="1"/>
        <v>0.5</v>
      </c>
      <c r="U42" s="324"/>
      <c r="V42" s="776">
        <f>+'Plan de Accion 2018'!AU19</f>
        <v>0</v>
      </c>
      <c r="W42" s="777">
        <f>+'Plan de Accion 2018'!BQ19</f>
        <v>0</v>
      </c>
      <c r="X42" s="870">
        <f t="shared" si="2"/>
        <v>0</v>
      </c>
      <c r="Y42" s="777">
        <f>+'Plan de Accion 2018'!AZ19</f>
        <v>0.57794616268033883</v>
      </c>
      <c r="Z42" s="892">
        <f t="shared" si="11"/>
        <v>0.57794616268033883</v>
      </c>
      <c r="AA42" s="878">
        <f t="shared" si="3"/>
        <v>0.57794616268033883</v>
      </c>
      <c r="AB42" s="324"/>
      <c r="AC42" s="330">
        <f>+'Plan de Accion 2018'!BE19</f>
        <v>0</v>
      </c>
      <c r="AD42" s="331">
        <f>+'Plan de Accion 2018'!BS19</f>
        <v>0</v>
      </c>
      <c r="AE42" s="870">
        <f t="shared" si="4"/>
        <v>0</v>
      </c>
      <c r="AF42" s="777">
        <f>+'Plan de Accion 2018'!BJ19</f>
        <v>0.57794616268033883</v>
      </c>
      <c r="AG42" s="878">
        <f t="shared" si="5"/>
        <v>0.57794616268033883</v>
      </c>
      <c r="AH42" s="347"/>
      <c r="AJ42" s="353"/>
      <c r="AK42" s="353"/>
      <c r="AL42" s="321"/>
      <c r="AM42" s="354"/>
      <c r="AN42" s="353"/>
      <c r="AO42" s="321"/>
      <c r="AP42" s="353"/>
      <c r="AQ42" s="353"/>
      <c r="AR42" s="321"/>
      <c r="AS42" s="353"/>
      <c r="AT42" s="353"/>
      <c r="AU42" s="328"/>
      <c r="AV42" s="350"/>
      <c r="AX42" s="353"/>
      <c r="AY42" s="353"/>
      <c r="AZ42" s="321"/>
      <c r="BA42" s="354"/>
      <c r="BB42" s="353"/>
      <c r="BC42" s="321"/>
      <c r="BD42" s="353"/>
      <c r="BE42" s="353"/>
      <c r="BF42" s="321"/>
      <c r="BG42" s="353"/>
      <c r="BH42" s="353"/>
      <c r="BI42" s="328"/>
      <c r="BJ42" s="350"/>
      <c r="BL42" s="353"/>
      <c r="BM42" s="353"/>
      <c r="BN42" s="321"/>
      <c r="BO42" s="354"/>
      <c r="BP42" s="353"/>
      <c r="BQ42" s="321"/>
      <c r="BR42" s="353"/>
      <c r="BS42" s="353"/>
      <c r="BT42" s="321"/>
      <c r="BU42" s="353"/>
      <c r="BV42" s="353"/>
      <c r="BW42" s="328"/>
      <c r="BX42" s="350"/>
      <c r="BZ42" s="353"/>
      <c r="CA42" s="353"/>
      <c r="CB42" s="321"/>
      <c r="CC42" s="354"/>
      <c r="CD42" s="353"/>
      <c r="CE42" s="321"/>
      <c r="CF42" s="353"/>
      <c r="CG42" s="353"/>
      <c r="CH42" s="321"/>
      <c r="CI42" s="353"/>
      <c r="CJ42" s="353"/>
      <c r="CK42" s="328"/>
      <c r="CL42" s="350"/>
    </row>
    <row r="43" spans="2:90" ht="15" x14ac:dyDescent="0.2">
      <c r="B43" s="1177"/>
      <c r="C43" s="1140"/>
      <c r="D43" s="1158"/>
      <c r="E43" s="1158"/>
      <c r="F43" s="1160"/>
      <c r="G43" s="321"/>
      <c r="H43" s="388">
        <f>+'Plan de Accion 2018'!AA20</f>
        <v>1.2711216975E-2</v>
      </c>
      <c r="I43" s="777">
        <f>+'Plan de Accion 2018'!BM20</f>
        <v>5.08448679E-2</v>
      </c>
      <c r="J43" s="777">
        <f t="shared" si="6"/>
        <v>5.08448679E-2</v>
      </c>
      <c r="K43" s="777">
        <f>+'Plan de Accion 2018'!AF20</f>
        <v>1.3272609844520916E-2</v>
      </c>
      <c r="L43" s="777">
        <f t="shared" si="7"/>
        <v>1.3272609844520916E-2</v>
      </c>
      <c r="M43" s="1391">
        <f t="shared" si="8"/>
        <v>1.3272609844520916E-2</v>
      </c>
      <c r="N43" s="883"/>
      <c r="O43" s="776">
        <f>+'Plan de Accion 2018'!AK20</f>
        <v>1.1022026997962731E-2</v>
      </c>
      <c r="P43" s="777">
        <f>+'Plan de Accion 2018'!BO20</f>
        <v>4.2223309000000001E-2</v>
      </c>
      <c r="Q43" s="870">
        <f t="shared" si="0"/>
        <v>4.2223309000000001E-2</v>
      </c>
      <c r="R43" s="892">
        <f>+'Plan de Accion 2018'!AP20</f>
        <v>2.4294636842483647E-2</v>
      </c>
      <c r="S43" s="892">
        <f t="shared" si="9"/>
        <v>2.4294636842483647E-2</v>
      </c>
      <c r="T43" s="878">
        <f t="shared" si="1"/>
        <v>2.4294636842483647E-2</v>
      </c>
      <c r="U43" s="324"/>
      <c r="V43" s="776">
        <f>+'Plan de Accion 2018'!AU20</f>
        <v>0</v>
      </c>
      <c r="W43" s="777">
        <f>+'Plan de Accion 2018'!BQ20</f>
        <v>0</v>
      </c>
      <c r="X43" s="870">
        <f t="shared" si="2"/>
        <v>0</v>
      </c>
      <c r="Y43" s="777">
        <f>+'Plan de Accion 2018'!AZ20</f>
        <v>2.4294636842483647E-2</v>
      </c>
      <c r="Z43" s="892">
        <f t="shared" si="11"/>
        <v>2.4294636842483647E-2</v>
      </c>
      <c r="AA43" s="878">
        <f t="shared" si="3"/>
        <v>2.4294636842483647E-2</v>
      </c>
      <c r="AB43" s="324"/>
      <c r="AC43" s="330">
        <f>+'Plan de Accion 2018'!BE20</f>
        <v>0</v>
      </c>
      <c r="AD43" s="331">
        <f>+'Plan de Accion 2018'!BS20</f>
        <v>0</v>
      </c>
      <c r="AE43" s="870">
        <f t="shared" si="4"/>
        <v>0</v>
      </c>
      <c r="AF43" s="777">
        <f>+'Plan de Accion 2018'!BJ20</f>
        <v>2.4294636842483647E-2</v>
      </c>
      <c r="AG43" s="878">
        <f t="shared" si="5"/>
        <v>2.4294636842483647E-2</v>
      </c>
      <c r="AH43" s="349"/>
      <c r="AJ43" s="353"/>
      <c r="AK43" s="353"/>
      <c r="AL43" s="321"/>
      <c r="AM43" s="354"/>
      <c r="AN43" s="353"/>
      <c r="AO43" s="321"/>
      <c r="AP43" s="353"/>
      <c r="AQ43" s="353"/>
      <c r="AR43" s="321"/>
      <c r="AS43" s="353"/>
      <c r="AT43" s="353"/>
      <c r="AU43" s="328"/>
      <c r="AV43" s="350"/>
      <c r="AX43" s="353"/>
      <c r="AY43" s="353"/>
      <c r="AZ43" s="321"/>
      <c r="BA43" s="354"/>
      <c r="BB43" s="353"/>
      <c r="BC43" s="321"/>
      <c r="BD43" s="353"/>
      <c r="BE43" s="353"/>
      <c r="BF43" s="321"/>
      <c r="BG43" s="353"/>
      <c r="BH43" s="353"/>
      <c r="BI43" s="328"/>
      <c r="BJ43" s="350"/>
      <c r="BL43" s="353"/>
      <c r="BM43" s="353"/>
      <c r="BN43" s="321"/>
      <c r="BO43" s="354"/>
      <c r="BP43" s="353"/>
      <c r="BQ43" s="321"/>
      <c r="BR43" s="353"/>
      <c r="BS43" s="353"/>
      <c r="BT43" s="321"/>
      <c r="BU43" s="353"/>
      <c r="BV43" s="353"/>
      <c r="BW43" s="328"/>
      <c r="BX43" s="350"/>
      <c r="BZ43" s="353"/>
      <c r="CA43" s="353"/>
      <c r="CB43" s="321"/>
      <c r="CC43" s="354"/>
      <c r="CD43" s="353"/>
      <c r="CE43" s="321"/>
      <c r="CF43" s="353"/>
      <c r="CG43" s="353"/>
      <c r="CH43" s="321"/>
      <c r="CI43" s="353"/>
      <c r="CJ43" s="353"/>
      <c r="CK43" s="328"/>
      <c r="CL43" s="350"/>
    </row>
    <row r="44" spans="2:90" ht="15.75" thickBot="1" x14ac:dyDescent="0.25">
      <c r="B44" s="1177"/>
      <c r="C44" s="1140"/>
      <c r="D44" s="1158"/>
      <c r="E44" s="1158"/>
      <c r="F44" s="1160"/>
      <c r="G44" s="321"/>
      <c r="H44" s="388">
        <f>+'Plan de Accion 2018'!AA21</f>
        <v>0</v>
      </c>
      <c r="I44" s="777">
        <f>+'Plan de Accion 2018'!BM21</f>
        <v>0</v>
      </c>
      <c r="J44" s="777">
        <f t="shared" si="6"/>
        <v>0</v>
      </c>
      <c r="K44" s="777">
        <f>+'Plan de Accion 2018'!AF21</f>
        <v>0</v>
      </c>
      <c r="L44" s="777">
        <f t="shared" si="7"/>
        <v>0</v>
      </c>
      <c r="M44" s="1391">
        <f t="shared" si="8"/>
        <v>0</v>
      </c>
      <c r="N44" s="883"/>
      <c r="O44" s="776">
        <f>+'Plan de Accion 2018'!AK21</f>
        <v>0</v>
      </c>
      <c r="P44" s="777">
        <f>+'Plan de Accion 2018'!BO21</f>
        <v>0</v>
      </c>
      <c r="Q44" s="870">
        <f t="shared" si="0"/>
        <v>0</v>
      </c>
      <c r="R44" s="892">
        <f>+'Plan de Accion 2018'!AP21</f>
        <v>0</v>
      </c>
      <c r="S44" s="892">
        <f t="shared" si="9"/>
        <v>0</v>
      </c>
      <c r="T44" s="878">
        <f t="shared" si="1"/>
        <v>0</v>
      </c>
      <c r="U44" s="324"/>
      <c r="V44" s="776">
        <f>+'Plan de Accion 2018'!AU21</f>
        <v>0</v>
      </c>
      <c r="W44" s="777">
        <f>+'Plan de Accion 2018'!BQ21</f>
        <v>0</v>
      </c>
      <c r="X44" s="870">
        <f t="shared" si="2"/>
        <v>0</v>
      </c>
      <c r="Y44" s="777">
        <f>+'Plan de Accion 2018'!AZ21</f>
        <v>0</v>
      </c>
      <c r="Z44" s="892">
        <f t="shared" si="11"/>
        <v>0</v>
      </c>
      <c r="AA44" s="878">
        <f t="shared" si="3"/>
        <v>0</v>
      </c>
      <c r="AB44" s="324"/>
      <c r="AC44" s="330">
        <f>+'Plan de Accion 2018'!BE21</f>
        <v>0</v>
      </c>
      <c r="AD44" s="331">
        <f>+'Plan de Accion 2018'!BS21</f>
        <v>0</v>
      </c>
      <c r="AE44" s="870">
        <f t="shared" si="4"/>
        <v>0</v>
      </c>
      <c r="AF44" s="777">
        <f>+'Plan de Accion 2018'!BJ21</f>
        <v>0</v>
      </c>
      <c r="AG44" s="878">
        <f t="shared" si="5"/>
        <v>0</v>
      </c>
      <c r="AH44" s="351"/>
      <c r="AJ44" s="353"/>
      <c r="AK44" s="353"/>
      <c r="AL44" s="321"/>
      <c r="AM44" s="354"/>
      <c r="AN44" s="353"/>
      <c r="AO44" s="321"/>
      <c r="AP44" s="353"/>
      <c r="AQ44" s="353"/>
      <c r="AR44" s="321"/>
      <c r="AS44" s="353"/>
      <c r="AT44" s="353"/>
      <c r="AU44" s="328"/>
      <c r="AV44" s="350"/>
      <c r="AX44" s="353"/>
      <c r="AY44" s="353"/>
      <c r="AZ44" s="321"/>
      <c r="BA44" s="354"/>
      <c r="BB44" s="353"/>
      <c r="BC44" s="321"/>
      <c r="BD44" s="353"/>
      <c r="BE44" s="353"/>
      <c r="BF44" s="321"/>
      <c r="BG44" s="353"/>
      <c r="BH44" s="353"/>
      <c r="BI44" s="328"/>
      <c r="BJ44" s="350"/>
      <c r="BL44" s="353"/>
      <c r="BM44" s="353"/>
      <c r="BN44" s="321"/>
      <c r="BO44" s="354"/>
      <c r="BP44" s="353"/>
      <c r="BQ44" s="321"/>
      <c r="BR44" s="353"/>
      <c r="BS44" s="353"/>
      <c r="BT44" s="321"/>
      <c r="BU44" s="353"/>
      <c r="BV44" s="353"/>
      <c r="BW44" s="328"/>
      <c r="BX44" s="350"/>
      <c r="BZ44" s="353"/>
      <c r="CA44" s="353"/>
      <c r="CB44" s="321"/>
      <c r="CC44" s="354"/>
      <c r="CD44" s="353"/>
      <c r="CE44" s="321"/>
      <c r="CF44" s="353"/>
      <c r="CG44" s="353"/>
      <c r="CH44" s="321"/>
      <c r="CI44" s="353"/>
      <c r="CJ44" s="353"/>
      <c r="CK44" s="328"/>
      <c r="CL44" s="350"/>
    </row>
    <row r="45" spans="2:90" ht="15" x14ac:dyDescent="0.2">
      <c r="B45" s="1177"/>
      <c r="C45" s="1140"/>
      <c r="D45" s="1158"/>
      <c r="E45" s="1158"/>
      <c r="F45" s="1160"/>
      <c r="G45" s="321"/>
      <c r="H45" s="388">
        <f>+'Plan de Accion 2018'!AA22</f>
        <v>0.24380171399700623</v>
      </c>
      <c r="I45" s="777">
        <f>+'Plan de Accion 2018'!BM22</f>
        <v>0.97520685598802492</v>
      </c>
      <c r="J45" s="777">
        <f t="shared" si="6"/>
        <v>0.97520685598802492</v>
      </c>
      <c r="K45" s="777">
        <f>+'Plan de Accion 2018'!AF22</f>
        <v>0.24380171399700623</v>
      </c>
      <c r="L45" s="777">
        <f t="shared" si="7"/>
        <v>0.24380171399700623</v>
      </c>
      <c r="M45" s="1391">
        <f t="shared" si="8"/>
        <v>0.24380171399700623</v>
      </c>
      <c r="N45" s="883"/>
      <c r="O45" s="776">
        <f>+'Plan de Accion 2018'!AK22</f>
        <v>0.26836580200552163</v>
      </c>
      <c r="P45" s="777">
        <f>+'Plan de Accion 2018'!BO22</f>
        <v>1.0734632080220865</v>
      </c>
      <c r="Q45" s="870">
        <f t="shared" si="0"/>
        <v>1</v>
      </c>
      <c r="R45" s="892">
        <f>+'Plan de Accion 2018'!AP22</f>
        <v>0.51216751600252786</v>
      </c>
      <c r="S45" s="892">
        <f t="shared" si="9"/>
        <v>0.5</v>
      </c>
      <c r="T45" s="878">
        <f t="shared" si="1"/>
        <v>0.5</v>
      </c>
      <c r="U45" s="883">
        <v>1</v>
      </c>
      <c r="V45" s="776">
        <f>+'Plan de Accion 2018'!AU22</f>
        <v>0</v>
      </c>
      <c r="W45" s="777">
        <f>+'Plan de Accion 2018'!BQ22</f>
        <v>0</v>
      </c>
      <c r="X45" s="870">
        <f t="shared" si="2"/>
        <v>0</v>
      </c>
      <c r="Y45" s="777">
        <f>+'Plan de Accion 2018'!AZ22</f>
        <v>0.51216751600252786</v>
      </c>
      <c r="Z45" s="892">
        <f t="shared" si="11"/>
        <v>0.51216751600252786</v>
      </c>
      <c r="AA45" s="878">
        <f t="shared" si="3"/>
        <v>0.51216751600252786</v>
      </c>
      <c r="AB45" s="324"/>
      <c r="AC45" s="330">
        <f>+'Plan de Accion 2018'!BE22</f>
        <v>0</v>
      </c>
      <c r="AD45" s="331">
        <f>+'Plan de Accion 2018'!BS22</f>
        <v>0</v>
      </c>
      <c r="AE45" s="870">
        <f t="shared" si="4"/>
        <v>0</v>
      </c>
      <c r="AF45" s="777">
        <f>+'Plan de Accion 2018'!BJ22</f>
        <v>0.51216751600252786</v>
      </c>
      <c r="AG45" s="878">
        <f t="shared" si="5"/>
        <v>0.51216751600252786</v>
      </c>
      <c r="AH45" s="347"/>
      <c r="AJ45" s="353"/>
      <c r="AK45" s="353"/>
      <c r="AL45" s="321"/>
      <c r="AM45" s="354"/>
      <c r="AN45" s="353"/>
      <c r="AO45" s="321"/>
      <c r="AP45" s="353"/>
      <c r="AQ45" s="353"/>
      <c r="AR45" s="321"/>
      <c r="AS45" s="353"/>
      <c r="AT45" s="353"/>
      <c r="AU45" s="328"/>
      <c r="AV45" s="350"/>
      <c r="AX45" s="353"/>
      <c r="AY45" s="353"/>
      <c r="AZ45" s="321"/>
      <c r="BA45" s="354"/>
      <c r="BB45" s="353"/>
      <c r="BC45" s="321"/>
      <c r="BD45" s="353"/>
      <c r="BE45" s="353"/>
      <c r="BF45" s="321"/>
      <c r="BG45" s="353"/>
      <c r="BH45" s="353"/>
      <c r="BI45" s="328"/>
      <c r="BJ45" s="350"/>
      <c r="BL45" s="353"/>
      <c r="BM45" s="353"/>
      <c r="BN45" s="321"/>
      <c r="BO45" s="354"/>
      <c r="BP45" s="353"/>
      <c r="BQ45" s="321"/>
      <c r="BR45" s="353"/>
      <c r="BS45" s="353"/>
      <c r="BT45" s="321"/>
      <c r="BU45" s="353"/>
      <c r="BV45" s="353"/>
      <c r="BW45" s="328"/>
      <c r="BX45" s="350"/>
      <c r="BZ45" s="353"/>
      <c r="CA45" s="353"/>
      <c r="CB45" s="321"/>
      <c r="CC45" s="354"/>
      <c r="CD45" s="353"/>
      <c r="CE45" s="321"/>
      <c r="CF45" s="353"/>
      <c r="CG45" s="353"/>
      <c r="CH45" s="321"/>
      <c r="CI45" s="353"/>
      <c r="CJ45" s="353"/>
      <c r="CK45" s="328"/>
      <c r="CL45" s="350"/>
    </row>
    <row r="46" spans="2:90" ht="15" x14ac:dyDescent="0.2">
      <c r="B46" s="1177"/>
      <c r="C46" s="1140"/>
      <c r="D46" s="1158"/>
      <c r="E46" s="1158"/>
      <c r="F46" s="1160"/>
      <c r="G46" s="321"/>
      <c r="H46" s="388">
        <f>+'Plan de Accion 2018'!AA23</f>
        <v>0.25892237729684275</v>
      </c>
      <c r="I46" s="777">
        <f>+'Plan de Accion 2018'!BM23</f>
        <v>1.035689509187371</v>
      </c>
      <c r="J46" s="777">
        <f t="shared" si="6"/>
        <v>1</v>
      </c>
      <c r="K46" s="777">
        <f>+'Plan de Accion 2018'!AF23</f>
        <v>0.22543323019733205</v>
      </c>
      <c r="L46" s="777">
        <f t="shared" si="7"/>
        <v>0.22543323019733205</v>
      </c>
      <c r="M46" s="1391">
        <f t="shared" si="8"/>
        <v>0.22543323019733205</v>
      </c>
      <c r="N46" s="883">
        <v>1</v>
      </c>
      <c r="O46" s="776">
        <f>+'Plan de Accion 2018'!AK23</f>
        <v>0.23628186254871916</v>
      </c>
      <c r="P46" s="777">
        <f>+'Plan de Accion 2018'!BO23</f>
        <v>0.90606386867371358</v>
      </c>
      <c r="Q46" s="870">
        <f t="shared" si="0"/>
        <v>0.90606386867371358</v>
      </c>
      <c r="R46" s="892">
        <f>+'Plan de Accion 2018'!AP23</f>
        <v>0.46171509274605121</v>
      </c>
      <c r="S46" s="892">
        <f t="shared" si="9"/>
        <v>0.46171509274605121</v>
      </c>
      <c r="T46" s="878">
        <f t="shared" si="1"/>
        <v>0.46171509274605121</v>
      </c>
      <c r="U46" s="324"/>
      <c r="V46" s="776">
        <f>+'Plan de Accion 2018'!AU23</f>
        <v>0</v>
      </c>
      <c r="W46" s="777">
        <f>+'Plan de Accion 2018'!BQ23</f>
        <v>0</v>
      </c>
      <c r="X46" s="870">
        <f t="shared" si="2"/>
        <v>0</v>
      </c>
      <c r="Y46" s="777">
        <f>+'Plan de Accion 2018'!AZ23</f>
        <v>0.46171509274605121</v>
      </c>
      <c r="Z46" s="892">
        <f t="shared" si="11"/>
        <v>0.46171509274605121</v>
      </c>
      <c r="AA46" s="878">
        <f t="shared" si="3"/>
        <v>0.46171509274605121</v>
      </c>
      <c r="AB46" s="324"/>
      <c r="AC46" s="330">
        <f>+'Plan de Accion 2018'!BE23</f>
        <v>0</v>
      </c>
      <c r="AD46" s="331">
        <f>+'Plan de Accion 2018'!BS23</f>
        <v>0</v>
      </c>
      <c r="AE46" s="870">
        <f t="shared" si="4"/>
        <v>0</v>
      </c>
      <c r="AF46" s="777">
        <f>+'Plan de Accion 2018'!BJ23</f>
        <v>0.46171509274605121</v>
      </c>
      <c r="AG46" s="878">
        <f t="shared" si="5"/>
        <v>0.46171509274605121</v>
      </c>
      <c r="AH46" s="349"/>
      <c r="AJ46" s="353"/>
      <c r="AK46" s="353"/>
      <c r="AL46" s="321"/>
      <c r="AM46" s="354"/>
      <c r="AN46" s="353"/>
      <c r="AO46" s="321"/>
      <c r="AP46" s="353"/>
      <c r="AQ46" s="353"/>
      <c r="AR46" s="321"/>
      <c r="AS46" s="353"/>
      <c r="AT46" s="353"/>
      <c r="AU46" s="328"/>
      <c r="AV46" s="350"/>
      <c r="AX46" s="353"/>
      <c r="AY46" s="353"/>
      <c r="AZ46" s="321"/>
      <c r="BA46" s="354"/>
      <c r="BB46" s="353"/>
      <c r="BC46" s="321"/>
      <c r="BD46" s="353"/>
      <c r="BE46" s="353"/>
      <c r="BF46" s="321"/>
      <c r="BG46" s="353"/>
      <c r="BH46" s="353"/>
      <c r="BI46" s="328"/>
      <c r="BJ46" s="350"/>
      <c r="BL46" s="353"/>
      <c r="BM46" s="353"/>
      <c r="BN46" s="321"/>
      <c r="BO46" s="354"/>
      <c r="BP46" s="353"/>
      <c r="BQ46" s="321"/>
      <c r="BR46" s="353"/>
      <c r="BS46" s="353"/>
      <c r="BT46" s="321"/>
      <c r="BU46" s="353"/>
      <c r="BV46" s="353"/>
      <c r="BW46" s="328"/>
      <c r="BX46" s="350"/>
      <c r="BZ46" s="353"/>
      <c r="CA46" s="353"/>
      <c r="CB46" s="321"/>
      <c r="CC46" s="354"/>
      <c r="CD46" s="353"/>
      <c r="CE46" s="321"/>
      <c r="CF46" s="353"/>
      <c r="CG46" s="353"/>
      <c r="CH46" s="321"/>
      <c r="CI46" s="353"/>
      <c r="CJ46" s="353"/>
      <c r="CK46" s="328"/>
      <c r="CL46" s="350"/>
    </row>
    <row r="47" spans="2:90" ht="15.75" thickBot="1" x14ac:dyDescent="0.25">
      <c r="B47" s="1177"/>
      <c r="C47" s="1140"/>
      <c r="D47" s="1158"/>
      <c r="E47" s="1158"/>
      <c r="F47" s="1160"/>
      <c r="G47" s="321"/>
      <c r="H47" s="388">
        <f>+'Plan de Accion 2018'!AA24</f>
        <v>0.25045429000543146</v>
      </c>
      <c r="I47" s="777">
        <f>+'Plan de Accion 2018'!BM24</f>
        <v>1.0018171600217258</v>
      </c>
      <c r="J47" s="777">
        <f t="shared" si="6"/>
        <v>1</v>
      </c>
      <c r="K47" s="777">
        <f>+'Plan de Accion 2018'!AF24</f>
        <v>0.25045429000543146</v>
      </c>
      <c r="L47" s="777">
        <f t="shared" si="7"/>
        <v>0.25</v>
      </c>
      <c r="M47" s="1391">
        <f t="shared" si="8"/>
        <v>0.25</v>
      </c>
      <c r="N47" s="883"/>
      <c r="O47" s="776">
        <f>+'Plan de Accion 2018'!AK24</f>
        <v>0.29107446829134082</v>
      </c>
      <c r="P47" s="777">
        <f>+'Plan de Accion 2018'!BO24</f>
        <v>1.1642978731653633</v>
      </c>
      <c r="Q47" s="870">
        <f t="shared" si="0"/>
        <v>1</v>
      </c>
      <c r="R47" s="892">
        <f>+'Plan de Accion 2018'!AP24</f>
        <v>0.54152875829677227</v>
      </c>
      <c r="S47" s="892">
        <f t="shared" si="9"/>
        <v>0.5</v>
      </c>
      <c r="T47" s="878">
        <f t="shared" si="1"/>
        <v>0.5</v>
      </c>
      <c r="U47" s="883">
        <v>1</v>
      </c>
      <c r="V47" s="776">
        <f>+'Plan de Accion 2018'!AU24</f>
        <v>0</v>
      </c>
      <c r="W47" s="777">
        <f>+'Plan de Accion 2018'!BQ24</f>
        <v>0</v>
      </c>
      <c r="X47" s="870">
        <f t="shared" si="2"/>
        <v>0</v>
      </c>
      <c r="Y47" s="777">
        <f>+'Plan de Accion 2018'!AZ24</f>
        <v>0.54152875829677227</v>
      </c>
      <c r="Z47" s="892">
        <f t="shared" si="11"/>
        <v>0.54152875829677227</v>
      </c>
      <c r="AA47" s="878">
        <f t="shared" si="3"/>
        <v>0.54152875829677227</v>
      </c>
      <c r="AB47" s="324"/>
      <c r="AC47" s="330">
        <f>+'Plan de Accion 2018'!BE24</f>
        <v>0</v>
      </c>
      <c r="AD47" s="331">
        <f>+'Plan de Accion 2018'!BS24</f>
        <v>0</v>
      </c>
      <c r="AE47" s="870">
        <f t="shared" si="4"/>
        <v>0</v>
      </c>
      <c r="AF47" s="777">
        <f>+'Plan de Accion 2018'!BJ24</f>
        <v>0.54152875829677227</v>
      </c>
      <c r="AG47" s="878">
        <f t="shared" si="5"/>
        <v>0.54152875829677227</v>
      </c>
      <c r="AH47" s="351"/>
      <c r="AJ47" s="353"/>
      <c r="AK47" s="353"/>
      <c r="AL47" s="321"/>
      <c r="AM47" s="354"/>
      <c r="AN47" s="353"/>
      <c r="AO47" s="321"/>
      <c r="AP47" s="353"/>
      <c r="AQ47" s="353"/>
      <c r="AR47" s="321"/>
      <c r="AS47" s="353"/>
      <c r="AT47" s="353"/>
      <c r="AU47" s="328"/>
      <c r="AV47" s="350"/>
      <c r="AX47" s="353"/>
      <c r="AY47" s="353"/>
      <c r="AZ47" s="321"/>
      <c r="BA47" s="354"/>
      <c r="BB47" s="353"/>
      <c r="BC47" s="321"/>
      <c r="BD47" s="353"/>
      <c r="BE47" s="353"/>
      <c r="BF47" s="321"/>
      <c r="BG47" s="353"/>
      <c r="BH47" s="353"/>
      <c r="BI47" s="328"/>
      <c r="BJ47" s="350"/>
      <c r="BL47" s="353"/>
      <c r="BM47" s="353"/>
      <c r="BN47" s="321"/>
      <c r="BO47" s="354"/>
      <c r="BP47" s="353"/>
      <c r="BQ47" s="321"/>
      <c r="BR47" s="353"/>
      <c r="BS47" s="353"/>
      <c r="BT47" s="321"/>
      <c r="BU47" s="353"/>
      <c r="BV47" s="353"/>
      <c r="BW47" s="328"/>
      <c r="BX47" s="350"/>
      <c r="BZ47" s="353"/>
      <c r="CA47" s="353"/>
      <c r="CB47" s="321"/>
      <c r="CC47" s="354"/>
      <c r="CD47" s="353"/>
      <c r="CE47" s="321"/>
      <c r="CF47" s="353"/>
      <c r="CG47" s="353"/>
      <c r="CH47" s="321"/>
      <c r="CI47" s="353"/>
      <c r="CJ47" s="353"/>
      <c r="CK47" s="328"/>
      <c r="CL47" s="350"/>
    </row>
    <row r="48" spans="2:90" ht="15" x14ac:dyDescent="0.2">
      <c r="B48" s="1177"/>
      <c r="C48" s="1140"/>
      <c r="D48" s="1158"/>
      <c r="E48" s="1158"/>
      <c r="F48" s="1160"/>
      <c r="G48" s="321"/>
      <c r="H48" s="388">
        <f>+'Plan de Accion 2018'!AA25</f>
        <v>0.42038601666666664</v>
      </c>
      <c r="I48" s="777">
        <f>+'Plan de Accion 2018'!BM25</f>
        <v>1.6815440666666666</v>
      </c>
      <c r="J48" s="777">
        <f t="shared" si="6"/>
        <v>1</v>
      </c>
      <c r="K48" s="777">
        <f>+'Plan de Accion 2018'!AF25</f>
        <v>0.18016543571428573</v>
      </c>
      <c r="L48" s="777">
        <f t="shared" si="7"/>
        <v>0.18016543571428573</v>
      </c>
      <c r="M48" s="1391">
        <f t="shared" si="8"/>
        <v>0.18016543571428573</v>
      </c>
      <c r="N48" s="883">
        <v>1</v>
      </c>
      <c r="O48" s="776">
        <f>+'Plan de Accion 2018'!AK25</f>
        <v>0.17462711485714286</v>
      </c>
      <c r="P48" s="777">
        <f>+'Plan de Accion 2018'!BO25</f>
        <v>0.58674710592000001</v>
      </c>
      <c r="Q48" s="870">
        <f t="shared" si="0"/>
        <v>0.58674710592000001</v>
      </c>
      <c r="R48" s="892">
        <f>+'Plan de Accion 2018'!AP25</f>
        <v>0.35479255057142856</v>
      </c>
      <c r="S48" s="892">
        <f t="shared" si="9"/>
        <v>0.35479255057142856</v>
      </c>
      <c r="T48" s="878">
        <f t="shared" si="1"/>
        <v>0.35479255057142856</v>
      </c>
      <c r="U48" s="324"/>
      <c r="V48" s="776">
        <f>+'Plan de Accion 2018'!AU25</f>
        <v>0</v>
      </c>
      <c r="W48" s="777">
        <f>+'Plan de Accion 2018'!BQ25</f>
        <v>0</v>
      </c>
      <c r="X48" s="870">
        <f t="shared" si="2"/>
        <v>0</v>
      </c>
      <c r="Y48" s="777">
        <f>+'Plan de Accion 2018'!AZ25</f>
        <v>0.35479255057142856</v>
      </c>
      <c r="Z48" s="892">
        <f t="shared" si="11"/>
        <v>0.35479255057142856</v>
      </c>
      <c r="AA48" s="878">
        <f t="shared" si="3"/>
        <v>0.35479255057142856</v>
      </c>
      <c r="AB48" s="324"/>
      <c r="AC48" s="330">
        <f>+'Plan de Accion 2018'!BE25</f>
        <v>0</v>
      </c>
      <c r="AD48" s="331">
        <f>+'Plan de Accion 2018'!BS25</f>
        <v>0</v>
      </c>
      <c r="AE48" s="870">
        <f t="shared" si="4"/>
        <v>0</v>
      </c>
      <c r="AF48" s="777">
        <f>+'Plan de Accion 2018'!BJ25</f>
        <v>0.35479255057142856</v>
      </c>
      <c r="AG48" s="878">
        <f t="shared" si="5"/>
        <v>0.35479255057142856</v>
      </c>
      <c r="AH48" s="347"/>
      <c r="AJ48" s="353"/>
      <c r="AK48" s="353"/>
      <c r="AL48" s="321"/>
      <c r="AM48" s="354"/>
      <c r="AN48" s="353"/>
      <c r="AO48" s="321"/>
      <c r="AP48" s="353"/>
      <c r="AQ48" s="353"/>
      <c r="AR48" s="321"/>
      <c r="AS48" s="353"/>
      <c r="AT48" s="353"/>
      <c r="AU48" s="328"/>
      <c r="AV48" s="350"/>
      <c r="AX48" s="353"/>
      <c r="AY48" s="353"/>
      <c r="AZ48" s="321"/>
      <c r="BA48" s="354"/>
      <c r="BB48" s="353"/>
      <c r="BC48" s="321"/>
      <c r="BD48" s="353"/>
      <c r="BE48" s="353"/>
      <c r="BF48" s="321"/>
      <c r="BG48" s="353"/>
      <c r="BH48" s="353"/>
      <c r="BI48" s="328"/>
      <c r="BJ48" s="350"/>
      <c r="BL48" s="353"/>
      <c r="BM48" s="353"/>
      <c r="BN48" s="321"/>
      <c r="BO48" s="354"/>
      <c r="BP48" s="353"/>
      <c r="BQ48" s="321"/>
      <c r="BR48" s="353"/>
      <c r="BS48" s="353"/>
      <c r="BT48" s="321"/>
      <c r="BU48" s="353"/>
      <c r="BV48" s="353"/>
      <c r="BW48" s="328"/>
      <c r="BX48" s="350"/>
      <c r="BZ48" s="353"/>
      <c r="CA48" s="353"/>
      <c r="CB48" s="321"/>
      <c r="CC48" s="354"/>
      <c r="CD48" s="353"/>
      <c r="CE48" s="321"/>
      <c r="CF48" s="353"/>
      <c r="CG48" s="353"/>
      <c r="CH48" s="321"/>
      <c r="CI48" s="353"/>
      <c r="CJ48" s="353"/>
      <c r="CK48" s="328"/>
      <c r="CL48" s="350"/>
    </row>
    <row r="49" spans="2:90" ht="15" x14ac:dyDescent="0.2">
      <c r="B49" s="1177"/>
      <c r="C49" s="1140"/>
      <c r="D49" s="1158"/>
      <c r="E49" s="1158"/>
      <c r="F49" s="1160"/>
      <c r="G49" s="321"/>
      <c r="H49" s="388">
        <f>+'Plan de Accion 2018'!AA26</f>
        <v>0.24873164869078085</v>
      </c>
      <c r="I49" s="777">
        <f>+'Plan de Accion 2018'!BM26</f>
        <v>0.9949265947631234</v>
      </c>
      <c r="J49" s="777">
        <f t="shared" si="6"/>
        <v>0.9949265947631234</v>
      </c>
      <c r="K49" s="777">
        <f>+'Plan de Accion 2018'!AF26</f>
        <v>0.25439677200358241</v>
      </c>
      <c r="L49" s="777">
        <f t="shared" si="7"/>
        <v>0.25</v>
      </c>
      <c r="M49" s="1391">
        <f t="shared" si="8"/>
        <v>0.25</v>
      </c>
      <c r="N49" s="883"/>
      <c r="O49" s="776">
        <f>+'Plan de Accion 2018'!AK26</f>
        <v>0.25797109481752045</v>
      </c>
      <c r="P49" s="777">
        <f>+'Plan de Accion 2018'!BO26</f>
        <v>1.0318843792700818</v>
      </c>
      <c r="Q49" s="870">
        <f t="shared" si="0"/>
        <v>1</v>
      </c>
      <c r="R49" s="892">
        <f>+'Plan de Accion 2018'!AP26</f>
        <v>0.51824342817797908</v>
      </c>
      <c r="S49" s="892">
        <f t="shared" si="9"/>
        <v>0.5</v>
      </c>
      <c r="T49" s="878">
        <f t="shared" si="1"/>
        <v>0.5</v>
      </c>
      <c r="U49" s="883">
        <v>1</v>
      </c>
      <c r="V49" s="776">
        <f>+'Plan de Accion 2018'!AU26</f>
        <v>0</v>
      </c>
      <c r="W49" s="777">
        <f>+'Plan de Accion 2018'!BQ26</f>
        <v>0</v>
      </c>
      <c r="X49" s="870">
        <f t="shared" si="2"/>
        <v>0</v>
      </c>
      <c r="Y49" s="777">
        <f>+'Plan de Accion 2018'!AZ26</f>
        <v>0.51824342817797908</v>
      </c>
      <c r="Z49" s="892">
        <f t="shared" si="11"/>
        <v>0.51824342817797908</v>
      </c>
      <c r="AA49" s="878">
        <f t="shared" si="3"/>
        <v>0.51824342817797908</v>
      </c>
      <c r="AB49" s="324"/>
      <c r="AC49" s="330">
        <f>+'Plan de Accion 2018'!BE26</f>
        <v>0</v>
      </c>
      <c r="AD49" s="331">
        <f>+'Plan de Accion 2018'!BS26</f>
        <v>0</v>
      </c>
      <c r="AE49" s="870">
        <f t="shared" si="4"/>
        <v>0</v>
      </c>
      <c r="AF49" s="777">
        <f>+'Plan de Accion 2018'!BJ26</f>
        <v>0.51824342817797908</v>
      </c>
      <c r="AG49" s="878">
        <f t="shared" si="5"/>
        <v>0.51824342817797908</v>
      </c>
      <c r="AH49" s="349"/>
      <c r="AJ49" s="353"/>
      <c r="AK49" s="353"/>
      <c r="AL49" s="321"/>
      <c r="AM49" s="354"/>
      <c r="AN49" s="353"/>
      <c r="AO49" s="321"/>
      <c r="AP49" s="353"/>
      <c r="AQ49" s="353"/>
      <c r="AR49" s="321"/>
      <c r="AS49" s="353"/>
      <c r="AT49" s="353"/>
      <c r="AU49" s="328"/>
      <c r="AV49" s="350"/>
      <c r="AX49" s="353"/>
      <c r="AY49" s="353"/>
      <c r="AZ49" s="321"/>
      <c r="BA49" s="354"/>
      <c r="BB49" s="353"/>
      <c r="BC49" s="321"/>
      <c r="BD49" s="353"/>
      <c r="BE49" s="353"/>
      <c r="BF49" s="321"/>
      <c r="BG49" s="353"/>
      <c r="BH49" s="353"/>
      <c r="BI49" s="328"/>
      <c r="BJ49" s="350"/>
      <c r="BL49" s="353"/>
      <c r="BM49" s="353"/>
      <c r="BN49" s="321"/>
      <c r="BO49" s="354"/>
      <c r="BP49" s="353"/>
      <c r="BQ49" s="321"/>
      <c r="BR49" s="353"/>
      <c r="BS49" s="353"/>
      <c r="BT49" s="321"/>
      <c r="BU49" s="353"/>
      <c r="BV49" s="353"/>
      <c r="BW49" s="328"/>
      <c r="BX49" s="350"/>
      <c r="BZ49" s="353"/>
      <c r="CA49" s="353"/>
      <c r="CB49" s="321"/>
      <c r="CC49" s="354"/>
      <c r="CD49" s="353"/>
      <c r="CE49" s="321"/>
      <c r="CF49" s="353"/>
      <c r="CG49" s="353"/>
      <c r="CH49" s="321"/>
      <c r="CI49" s="353"/>
      <c r="CJ49" s="353"/>
      <c r="CK49" s="328"/>
      <c r="CL49" s="350"/>
    </row>
    <row r="50" spans="2:90" ht="15.75" thickBot="1" x14ac:dyDescent="0.25">
      <c r="B50" s="1177"/>
      <c r="C50" s="1140"/>
      <c r="D50" s="1158"/>
      <c r="E50" s="1158"/>
      <c r="F50" s="1160"/>
      <c r="G50" s="321"/>
      <c r="H50" s="388">
        <f>+'Plan de Accion 2018'!AA27</f>
        <v>0.24367466379737907</v>
      </c>
      <c r="I50" s="777">
        <f>+'Plan de Accion 2018'!BM27</f>
        <v>0.97469865518951626</v>
      </c>
      <c r="J50" s="777">
        <f t="shared" si="6"/>
        <v>0.97469865518951626</v>
      </c>
      <c r="K50" s="777">
        <f>+'Plan de Accion 2018'!AF27</f>
        <v>0.24367466379737907</v>
      </c>
      <c r="L50" s="777">
        <f t="shared" si="7"/>
        <v>0.24367466379737907</v>
      </c>
      <c r="M50" s="1391">
        <f t="shared" si="8"/>
        <v>0.24367466379737907</v>
      </c>
      <c r="N50" s="883"/>
      <c r="O50" s="776">
        <f>+'Plan de Accion 2018'!AK27</f>
        <v>0.24367466379737907</v>
      </c>
      <c r="P50" s="777">
        <f>+'Plan de Accion 2018'!BO27</f>
        <v>0.97469865518951626</v>
      </c>
      <c r="Q50" s="870">
        <f t="shared" si="0"/>
        <v>0.97469865518951626</v>
      </c>
      <c r="R50" s="892">
        <f>+'Plan de Accion 2018'!AP27</f>
        <v>0.48734932759475813</v>
      </c>
      <c r="S50" s="892">
        <f t="shared" si="9"/>
        <v>0.48734932759475813</v>
      </c>
      <c r="T50" s="878">
        <f t="shared" si="1"/>
        <v>0.48734932759475813</v>
      </c>
      <c r="U50" s="324"/>
      <c r="V50" s="776">
        <f>+'Plan de Accion 2018'!AU27</f>
        <v>0</v>
      </c>
      <c r="W50" s="777">
        <f>+'Plan de Accion 2018'!BQ27</f>
        <v>0</v>
      </c>
      <c r="X50" s="870">
        <f t="shared" si="2"/>
        <v>0</v>
      </c>
      <c r="Y50" s="777">
        <f>+'Plan de Accion 2018'!AZ27</f>
        <v>0.48734932759475813</v>
      </c>
      <c r="Z50" s="892">
        <f t="shared" si="11"/>
        <v>0.48734932759475813</v>
      </c>
      <c r="AA50" s="878">
        <f t="shared" si="3"/>
        <v>0.48734932759475813</v>
      </c>
      <c r="AB50" s="324"/>
      <c r="AC50" s="330">
        <f>+'Plan de Accion 2018'!BE27</f>
        <v>0</v>
      </c>
      <c r="AD50" s="331">
        <f>+'Plan de Accion 2018'!BS27</f>
        <v>0</v>
      </c>
      <c r="AE50" s="870">
        <f t="shared" si="4"/>
        <v>0</v>
      </c>
      <c r="AF50" s="777">
        <f>+'Plan de Accion 2018'!BJ27</f>
        <v>0.48734932759475813</v>
      </c>
      <c r="AG50" s="878">
        <f t="shared" si="5"/>
        <v>0.48734932759475813</v>
      </c>
      <c r="AH50" s="351"/>
      <c r="AJ50" s="353"/>
      <c r="AK50" s="353"/>
      <c r="AL50" s="321"/>
      <c r="AM50" s="354"/>
      <c r="AN50" s="353"/>
      <c r="AO50" s="321"/>
      <c r="AP50" s="353"/>
      <c r="AQ50" s="353"/>
      <c r="AR50" s="321"/>
      <c r="AS50" s="353"/>
      <c r="AT50" s="353"/>
      <c r="AU50" s="328"/>
      <c r="AV50" s="350"/>
      <c r="AX50" s="353"/>
      <c r="AY50" s="353"/>
      <c r="AZ50" s="321"/>
      <c r="BA50" s="354"/>
      <c r="BB50" s="353"/>
      <c r="BC50" s="321"/>
      <c r="BD50" s="353"/>
      <c r="BE50" s="353"/>
      <c r="BF50" s="321"/>
      <c r="BG50" s="353"/>
      <c r="BH50" s="353"/>
      <c r="BI50" s="328"/>
      <c r="BJ50" s="350"/>
      <c r="BL50" s="353"/>
      <c r="BM50" s="353"/>
      <c r="BN50" s="321"/>
      <c r="BO50" s="354"/>
      <c r="BP50" s="353"/>
      <c r="BQ50" s="321"/>
      <c r="BR50" s="353"/>
      <c r="BS50" s="353"/>
      <c r="BT50" s="321"/>
      <c r="BU50" s="353"/>
      <c r="BV50" s="353"/>
      <c r="BW50" s="328"/>
      <c r="BX50" s="350"/>
      <c r="BZ50" s="353"/>
      <c r="CA50" s="353"/>
      <c r="CB50" s="321"/>
      <c r="CC50" s="354"/>
      <c r="CD50" s="353"/>
      <c r="CE50" s="321"/>
      <c r="CF50" s="353"/>
      <c r="CG50" s="353"/>
      <c r="CH50" s="321"/>
      <c r="CI50" s="353"/>
      <c r="CJ50" s="353"/>
      <c r="CK50" s="328"/>
      <c r="CL50" s="350"/>
    </row>
    <row r="51" spans="2:90" ht="15" x14ac:dyDescent="0.2">
      <c r="B51" s="1177"/>
      <c r="C51" s="1140"/>
      <c r="D51" s="1158"/>
      <c r="E51" s="1158"/>
      <c r="F51" s="1160"/>
      <c r="G51" s="321"/>
      <c r="H51" s="388">
        <f>+'Plan de Accion 2018'!AA28</f>
        <v>2.5419841830139536</v>
      </c>
      <c r="I51" s="777">
        <f>+'Plan de Accion 2018'!BM28</f>
        <v>10.167936732055814</v>
      </c>
      <c r="J51" s="777">
        <f t="shared" si="6"/>
        <v>1</v>
      </c>
      <c r="K51" s="777">
        <f>+'Plan de Accion 2018'!AF28</f>
        <v>0.28125005310454171</v>
      </c>
      <c r="L51" s="777">
        <f t="shared" si="7"/>
        <v>0.25</v>
      </c>
      <c r="M51" s="1391">
        <f t="shared" si="8"/>
        <v>0.25</v>
      </c>
      <c r="N51" s="883">
        <v>1</v>
      </c>
      <c r="O51" s="776">
        <f>+'Plan de Accion 2018'!AK28</f>
        <v>0.44516015944978665</v>
      </c>
      <c r="P51" s="777">
        <f>+'Plan de Accion 2018'!BO28</f>
        <v>1</v>
      </c>
      <c r="Q51" s="870">
        <f t="shared" si="0"/>
        <v>1</v>
      </c>
      <c r="R51" s="892">
        <f>+'Plan de Accion 2018'!AP28</f>
        <v>0.72641021255432836</v>
      </c>
      <c r="S51" s="892">
        <f t="shared" si="9"/>
        <v>0.5</v>
      </c>
      <c r="T51" s="878">
        <f t="shared" si="1"/>
        <v>0.5</v>
      </c>
      <c r="U51" s="324"/>
      <c r="V51" s="776">
        <f>+'Plan de Accion 2018'!AU28</f>
        <v>0</v>
      </c>
      <c r="W51" s="777">
        <f>+'Plan de Accion 2018'!BQ28</f>
        <v>0</v>
      </c>
      <c r="X51" s="870">
        <f t="shared" si="2"/>
        <v>0</v>
      </c>
      <c r="Y51" s="777">
        <f>+'Plan de Accion 2018'!AZ28</f>
        <v>0.72641021255432836</v>
      </c>
      <c r="Z51" s="892">
        <f t="shared" si="11"/>
        <v>0.72641021255432836</v>
      </c>
      <c r="AA51" s="878">
        <f t="shared" si="3"/>
        <v>0.72641021255432836</v>
      </c>
      <c r="AB51" s="324"/>
      <c r="AC51" s="330">
        <f>+'Plan de Accion 2018'!BE28</f>
        <v>0</v>
      </c>
      <c r="AD51" s="331">
        <f>+'Plan de Accion 2018'!BS28</f>
        <v>0</v>
      </c>
      <c r="AE51" s="870">
        <f t="shared" si="4"/>
        <v>0</v>
      </c>
      <c r="AF51" s="777">
        <f>+'Plan de Accion 2018'!BJ28</f>
        <v>0.72641021255432836</v>
      </c>
      <c r="AG51" s="878">
        <f t="shared" si="5"/>
        <v>0.72641021255432836</v>
      </c>
      <c r="AH51" s="347"/>
      <c r="AJ51" s="353"/>
      <c r="AK51" s="353"/>
      <c r="AL51" s="321"/>
      <c r="AM51" s="354"/>
      <c r="AN51" s="353"/>
      <c r="AO51" s="321"/>
      <c r="AP51" s="353"/>
      <c r="AQ51" s="353"/>
      <c r="AR51" s="321"/>
      <c r="AS51" s="353"/>
      <c r="AT51" s="353"/>
      <c r="AU51" s="328"/>
      <c r="AV51" s="350"/>
      <c r="AX51" s="353"/>
      <c r="AY51" s="353"/>
      <c r="AZ51" s="321"/>
      <c r="BA51" s="354"/>
      <c r="BB51" s="353"/>
      <c r="BC51" s="321"/>
      <c r="BD51" s="353"/>
      <c r="BE51" s="353"/>
      <c r="BF51" s="321"/>
      <c r="BG51" s="353"/>
      <c r="BH51" s="353"/>
      <c r="BI51" s="328"/>
      <c r="BJ51" s="350"/>
      <c r="BL51" s="353"/>
      <c r="BM51" s="353"/>
      <c r="BN51" s="321"/>
      <c r="BO51" s="354"/>
      <c r="BP51" s="353"/>
      <c r="BQ51" s="321"/>
      <c r="BR51" s="353"/>
      <c r="BS51" s="353"/>
      <c r="BT51" s="321"/>
      <c r="BU51" s="353"/>
      <c r="BV51" s="353"/>
      <c r="BW51" s="328"/>
      <c r="BX51" s="350"/>
      <c r="BZ51" s="353"/>
      <c r="CA51" s="353"/>
      <c r="CB51" s="321"/>
      <c r="CC51" s="354"/>
      <c r="CD51" s="353"/>
      <c r="CE51" s="321"/>
      <c r="CF51" s="353"/>
      <c r="CG51" s="353"/>
      <c r="CH51" s="321"/>
      <c r="CI51" s="353"/>
      <c r="CJ51" s="353"/>
      <c r="CK51" s="328"/>
      <c r="CL51" s="350"/>
    </row>
    <row r="52" spans="2:90" ht="15" x14ac:dyDescent="0.2">
      <c r="B52" s="1177"/>
      <c r="C52" s="1140"/>
      <c r="D52" s="1158"/>
      <c r="E52" s="1158"/>
      <c r="F52" s="1160"/>
      <c r="G52" s="321"/>
      <c r="H52" s="388">
        <f>+'Plan de Accion 2018'!AA29</f>
        <v>0.37511077803977039</v>
      </c>
      <c r="I52" s="777">
        <f>+'Plan de Accion 2018'!BM29</f>
        <v>1.5004431121590815</v>
      </c>
      <c r="J52" s="777">
        <f t="shared" si="6"/>
        <v>1</v>
      </c>
      <c r="K52" s="777">
        <f>+'Plan de Accion 2018'!AF29</f>
        <v>0.36800392732260084</v>
      </c>
      <c r="L52" s="777">
        <f t="shared" si="7"/>
        <v>0.25</v>
      </c>
      <c r="M52" s="1391">
        <f t="shared" si="8"/>
        <v>0.25</v>
      </c>
      <c r="N52" s="883">
        <v>1</v>
      </c>
      <c r="O52" s="776">
        <f>+'Plan de Accion 2018'!AK29</f>
        <v>0.32637710974219947</v>
      </c>
      <c r="P52" s="777">
        <f>+'Plan de Accion 2018'!BO29</f>
        <v>1.3307202720415001</v>
      </c>
      <c r="Q52" s="870">
        <f t="shared" si="0"/>
        <v>1</v>
      </c>
      <c r="R52" s="892">
        <f>+'Plan de Accion 2018'!AP29</f>
        <v>0.69438103706480026</v>
      </c>
      <c r="S52" s="892">
        <f t="shared" si="9"/>
        <v>0.5</v>
      </c>
      <c r="T52" s="878">
        <f t="shared" si="1"/>
        <v>0.5</v>
      </c>
      <c r="U52" s="883">
        <v>1</v>
      </c>
      <c r="V52" s="776">
        <f>+'Plan de Accion 2018'!AU29</f>
        <v>0</v>
      </c>
      <c r="W52" s="777">
        <f>+'Plan de Accion 2018'!BQ29</f>
        <v>0</v>
      </c>
      <c r="X52" s="870">
        <f t="shared" si="2"/>
        <v>0</v>
      </c>
      <c r="Y52" s="777">
        <f>+'Plan de Accion 2018'!AZ29</f>
        <v>0.69438103706480026</v>
      </c>
      <c r="Z52" s="892">
        <f t="shared" si="11"/>
        <v>0.69438103706480026</v>
      </c>
      <c r="AA52" s="878">
        <f t="shared" si="3"/>
        <v>0.69438103706480026</v>
      </c>
      <c r="AB52" s="324"/>
      <c r="AC52" s="330">
        <f>+'Plan de Accion 2018'!BE29</f>
        <v>0</v>
      </c>
      <c r="AD52" s="331">
        <f>+'Plan de Accion 2018'!BS29</f>
        <v>0</v>
      </c>
      <c r="AE52" s="870">
        <f t="shared" si="4"/>
        <v>0</v>
      </c>
      <c r="AF52" s="777">
        <f>+'Plan de Accion 2018'!BJ29</f>
        <v>0.69438103706480026</v>
      </c>
      <c r="AG52" s="878">
        <f t="shared" si="5"/>
        <v>0.69438103706480026</v>
      </c>
      <c r="AH52" s="349"/>
      <c r="AJ52" s="353"/>
      <c r="AK52" s="353"/>
      <c r="AL52" s="321"/>
      <c r="AM52" s="354"/>
      <c r="AN52" s="353"/>
      <c r="AO52" s="321"/>
      <c r="AP52" s="353"/>
      <c r="AQ52" s="353"/>
      <c r="AR52" s="321"/>
      <c r="AS52" s="353"/>
      <c r="AT52" s="353"/>
      <c r="AU52" s="328"/>
      <c r="AV52" s="350"/>
      <c r="AX52" s="353"/>
      <c r="AY52" s="353"/>
      <c r="AZ52" s="321"/>
      <c r="BA52" s="354"/>
      <c r="BB52" s="353"/>
      <c r="BC52" s="321"/>
      <c r="BD52" s="353"/>
      <c r="BE52" s="353"/>
      <c r="BF52" s="321"/>
      <c r="BG52" s="353"/>
      <c r="BH52" s="353"/>
      <c r="BI52" s="328"/>
      <c r="BJ52" s="350"/>
      <c r="BL52" s="353"/>
      <c r="BM52" s="353"/>
      <c r="BN52" s="321"/>
      <c r="BO52" s="354"/>
      <c r="BP52" s="353"/>
      <c r="BQ52" s="321"/>
      <c r="BR52" s="353"/>
      <c r="BS52" s="353"/>
      <c r="BT52" s="321"/>
      <c r="BU52" s="353"/>
      <c r="BV52" s="353"/>
      <c r="BW52" s="328"/>
      <c r="BX52" s="350"/>
      <c r="BZ52" s="353"/>
      <c r="CA52" s="353"/>
      <c r="CB52" s="321"/>
      <c r="CC52" s="354"/>
      <c r="CD52" s="353"/>
      <c r="CE52" s="321"/>
      <c r="CF52" s="353"/>
      <c r="CG52" s="353"/>
      <c r="CH52" s="321"/>
      <c r="CI52" s="353"/>
      <c r="CJ52" s="353"/>
      <c r="CK52" s="328"/>
      <c r="CL52" s="350"/>
    </row>
    <row r="53" spans="2:90" ht="15.75" thickBot="1" x14ac:dyDescent="0.25">
      <c r="B53" s="1177"/>
      <c r="C53" s="1140"/>
      <c r="D53" s="1158"/>
      <c r="E53" s="1158"/>
      <c r="F53" s="1160"/>
      <c r="G53" s="321"/>
      <c r="H53" s="388">
        <f>+'Plan de Accion 2018'!AA30</f>
        <v>0</v>
      </c>
      <c r="I53" s="777">
        <f>+'Plan de Accion 2018'!BM30</f>
        <v>0</v>
      </c>
      <c r="J53" s="777">
        <f t="shared" si="6"/>
        <v>0</v>
      </c>
      <c r="K53" s="884">
        <f>+'Plan de Accion 2018'!AF30</f>
        <v>0</v>
      </c>
      <c r="L53" s="777">
        <f t="shared" si="7"/>
        <v>0</v>
      </c>
      <c r="M53" s="1391">
        <f t="shared" si="8"/>
        <v>0</v>
      </c>
      <c r="N53" s="883"/>
      <c r="O53" s="776">
        <f>+'Plan de Accion 2018'!AK30</f>
        <v>0</v>
      </c>
      <c r="P53" s="777">
        <f>+'Plan de Accion 2018'!BO30</f>
        <v>0</v>
      </c>
      <c r="Q53" s="870">
        <f t="shared" si="0"/>
        <v>0</v>
      </c>
      <c r="R53" s="892">
        <f>+'Plan de Accion 2018'!AP30</f>
        <v>0</v>
      </c>
      <c r="S53" s="892">
        <f t="shared" si="9"/>
        <v>0</v>
      </c>
      <c r="T53" s="878">
        <f t="shared" si="1"/>
        <v>0</v>
      </c>
      <c r="U53" s="324"/>
      <c r="V53" s="776">
        <f>+'Plan de Accion 2018'!AU30</f>
        <v>0</v>
      </c>
      <c r="W53" s="777">
        <f>+'Plan de Accion 2018'!BQ30</f>
        <v>0</v>
      </c>
      <c r="X53" s="870">
        <f t="shared" si="2"/>
        <v>0</v>
      </c>
      <c r="Y53" s="777">
        <f>+'Plan de Accion 2018'!AZ30</f>
        <v>0</v>
      </c>
      <c r="Z53" s="892">
        <f t="shared" si="11"/>
        <v>0</v>
      </c>
      <c r="AA53" s="878">
        <f t="shared" si="3"/>
        <v>0</v>
      </c>
      <c r="AB53" s="324"/>
      <c r="AC53" s="330">
        <f>+'Plan de Accion 2018'!BE30</f>
        <v>0</v>
      </c>
      <c r="AD53" s="331">
        <f>+'Plan de Accion 2018'!BS30</f>
        <v>0</v>
      </c>
      <c r="AE53" s="870">
        <f t="shared" si="4"/>
        <v>0</v>
      </c>
      <c r="AF53" s="777">
        <f>+'Plan de Accion 2018'!BJ30</f>
        <v>0</v>
      </c>
      <c r="AG53" s="878">
        <f t="shared" si="5"/>
        <v>0</v>
      </c>
      <c r="AH53" s="351"/>
      <c r="AJ53" s="353"/>
      <c r="AK53" s="353"/>
      <c r="AL53" s="321"/>
      <c r="AM53" s="354"/>
      <c r="AN53" s="353"/>
      <c r="AO53" s="321"/>
      <c r="AP53" s="353"/>
      <c r="AQ53" s="353"/>
      <c r="AR53" s="321"/>
      <c r="AS53" s="353"/>
      <c r="AT53" s="353"/>
      <c r="AU53" s="328"/>
      <c r="AV53" s="350"/>
      <c r="AX53" s="353"/>
      <c r="AY53" s="353"/>
      <c r="AZ53" s="321"/>
      <c r="BA53" s="354"/>
      <c r="BB53" s="353"/>
      <c r="BC53" s="321"/>
      <c r="BD53" s="353"/>
      <c r="BE53" s="353"/>
      <c r="BF53" s="321"/>
      <c r="BG53" s="353"/>
      <c r="BH53" s="353"/>
      <c r="BI53" s="328"/>
      <c r="BJ53" s="350"/>
      <c r="BL53" s="353"/>
      <c r="BM53" s="353"/>
      <c r="BN53" s="321"/>
      <c r="BO53" s="354"/>
      <c r="BP53" s="353"/>
      <c r="BQ53" s="321"/>
      <c r="BR53" s="353"/>
      <c r="BS53" s="353"/>
      <c r="BT53" s="321"/>
      <c r="BU53" s="353"/>
      <c r="BV53" s="353"/>
      <c r="BW53" s="328"/>
      <c r="BX53" s="350"/>
      <c r="BZ53" s="353"/>
      <c r="CA53" s="353"/>
      <c r="CB53" s="321"/>
      <c r="CC53" s="354"/>
      <c r="CD53" s="353"/>
      <c r="CE53" s="321"/>
      <c r="CF53" s="353"/>
      <c r="CG53" s="353"/>
      <c r="CH53" s="321"/>
      <c r="CI53" s="353"/>
      <c r="CJ53" s="353"/>
      <c r="CK53" s="328"/>
      <c r="CL53" s="350"/>
    </row>
    <row r="54" spans="2:90" ht="15.75" thickBot="1" x14ac:dyDescent="0.25">
      <c r="B54" s="1177"/>
      <c r="C54" s="1140"/>
      <c r="D54" s="1158"/>
      <c r="E54" s="1158"/>
      <c r="F54" s="1160"/>
      <c r="G54" s="321"/>
      <c r="H54" s="388">
        <f>+'Plan de Accion 2018'!AA31</f>
        <v>9.2528103872319828E-4</v>
      </c>
      <c r="I54" s="777">
        <f>+'Plan de Accion 2018'!BM31</f>
        <v>3.7011241548927931E-3</v>
      </c>
      <c r="J54" s="777">
        <f t="shared" si="6"/>
        <v>3.7011241548927931E-3</v>
      </c>
      <c r="K54" s="842">
        <f>+'Plan de Accion 2018'!AF31</f>
        <v>9.174420244199516E-4</v>
      </c>
      <c r="L54" s="777">
        <f t="shared" si="7"/>
        <v>9.174420244199516E-4</v>
      </c>
      <c r="M54" s="1391">
        <f t="shared" si="8"/>
        <v>9.174420244199516E-4</v>
      </c>
      <c r="N54" s="883"/>
      <c r="O54" s="776">
        <f>+'Plan de Accion 2018'!AK31</f>
        <v>0</v>
      </c>
      <c r="P54" s="777">
        <f>+'Plan de Accion 2018'!BO31</f>
        <v>0</v>
      </c>
      <c r="Q54" s="870">
        <f t="shared" si="0"/>
        <v>0</v>
      </c>
      <c r="R54" s="892">
        <f>+'Plan de Accion 2018'!AP31</f>
        <v>9.174420244199516E-4</v>
      </c>
      <c r="S54" s="892">
        <f t="shared" si="9"/>
        <v>9.174420244199516E-4</v>
      </c>
      <c r="T54" s="878">
        <f t="shared" si="1"/>
        <v>9.174420244199516E-4</v>
      </c>
      <c r="U54" s="324"/>
      <c r="V54" s="776">
        <f>+'Plan de Accion 2018'!AU31</f>
        <v>0</v>
      </c>
      <c r="W54" s="777">
        <f>+'Plan de Accion 2018'!BQ31</f>
        <v>0</v>
      </c>
      <c r="X54" s="870">
        <f t="shared" si="2"/>
        <v>0</v>
      </c>
      <c r="Y54" s="777">
        <f>+'Plan de Accion 2018'!AZ31</f>
        <v>9.174420244199516E-4</v>
      </c>
      <c r="Z54" s="892">
        <f t="shared" si="11"/>
        <v>9.174420244199516E-4</v>
      </c>
      <c r="AA54" s="878">
        <f t="shared" si="3"/>
        <v>9.174420244199516E-4</v>
      </c>
      <c r="AB54" s="324"/>
      <c r="AC54" s="330">
        <f>+'Plan de Accion 2018'!BE31</f>
        <v>0</v>
      </c>
      <c r="AD54" s="331">
        <f>+'Plan de Accion 2018'!BS31</f>
        <v>0</v>
      </c>
      <c r="AE54" s="870">
        <f t="shared" si="4"/>
        <v>0</v>
      </c>
      <c r="AF54" s="777">
        <f>+'Plan de Accion 2018'!BJ31</f>
        <v>9.174420244199516E-4</v>
      </c>
      <c r="AG54" s="878">
        <f t="shared" si="5"/>
        <v>9.174420244199516E-4</v>
      </c>
      <c r="AH54" s="351"/>
      <c r="AJ54" s="354"/>
      <c r="AK54" s="355"/>
      <c r="AL54" s="321"/>
      <c r="AM54" s="354"/>
      <c r="AN54" s="355"/>
      <c r="AO54" s="321"/>
      <c r="AP54" s="354"/>
      <c r="AQ54" s="355"/>
      <c r="AR54" s="321"/>
      <c r="AS54" s="354"/>
      <c r="AT54" s="355"/>
      <c r="AU54" s="328"/>
      <c r="AV54" s="350"/>
      <c r="AX54" s="354"/>
      <c r="AY54" s="355"/>
      <c r="AZ54" s="321"/>
      <c r="BA54" s="354"/>
      <c r="BB54" s="355"/>
      <c r="BC54" s="321"/>
      <c r="BD54" s="354"/>
      <c r="BE54" s="355"/>
      <c r="BF54" s="321"/>
      <c r="BG54" s="354"/>
      <c r="BH54" s="355"/>
      <c r="BI54" s="328"/>
      <c r="BJ54" s="350"/>
      <c r="BL54" s="354"/>
      <c r="BM54" s="355"/>
      <c r="BN54" s="321"/>
      <c r="BO54" s="354"/>
      <c r="BP54" s="355"/>
      <c r="BQ54" s="321"/>
      <c r="BR54" s="354"/>
      <c r="BS54" s="355"/>
      <c r="BT54" s="321"/>
      <c r="BU54" s="354"/>
      <c r="BV54" s="355"/>
      <c r="BW54" s="328"/>
      <c r="BX54" s="350"/>
      <c r="BZ54" s="354"/>
      <c r="CA54" s="355"/>
      <c r="CB54" s="321"/>
      <c r="CC54" s="354"/>
      <c r="CD54" s="355"/>
      <c r="CE54" s="321"/>
      <c r="CF54" s="354"/>
      <c r="CG54" s="355"/>
      <c r="CH54" s="321"/>
      <c r="CI54" s="354"/>
      <c r="CJ54" s="355"/>
      <c r="CK54" s="328"/>
      <c r="CL54" s="350"/>
    </row>
    <row r="55" spans="2:90" ht="15.75" thickBot="1" x14ac:dyDescent="0.25">
      <c r="B55" s="1177"/>
      <c r="C55" s="1140"/>
      <c r="D55" s="1158"/>
      <c r="E55" s="1158"/>
      <c r="F55" s="1160"/>
      <c r="G55" s="321"/>
      <c r="H55" s="388">
        <f>+'Plan de Accion 2018'!AA32</f>
        <v>1.7306364600044829E-3</v>
      </c>
      <c r="I55" s="777">
        <f>+'Plan de Accion 2018'!BM32</f>
        <v>6.9225458400179315E-3</v>
      </c>
      <c r="J55" s="777">
        <f t="shared" si="6"/>
        <v>6.9225458400179315E-3</v>
      </c>
      <c r="K55" s="842">
        <f>+'Plan de Accion 2018'!AF32</f>
        <v>1.7306364600044829E-3</v>
      </c>
      <c r="L55" s="777">
        <f t="shared" si="7"/>
        <v>1.7306364600044829E-3</v>
      </c>
      <c r="M55" s="1391">
        <f t="shared" si="8"/>
        <v>1.7306364600044829E-3</v>
      </c>
      <c r="N55" s="883"/>
      <c r="O55" s="776">
        <f>+'Plan de Accion 2018'!AK32</f>
        <v>3.4039135140733111E-2</v>
      </c>
      <c r="P55" s="777">
        <f>+'Plan de Accion 2018'!BO32</f>
        <v>0.13615654056293244</v>
      </c>
      <c r="Q55" s="870">
        <f t="shared" si="0"/>
        <v>0.13615654056293244</v>
      </c>
      <c r="R55" s="892">
        <f>+'Plan de Accion 2018'!AP32</f>
        <v>3.5769771600737597E-2</v>
      </c>
      <c r="S55" s="892">
        <f t="shared" si="9"/>
        <v>3.5769771600737597E-2</v>
      </c>
      <c r="T55" s="878">
        <f t="shared" si="1"/>
        <v>3.5769771600737597E-2</v>
      </c>
      <c r="U55" s="324"/>
      <c r="V55" s="776">
        <f>+'Plan de Accion 2018'!AU32</f>
        <v>0</v>
      </c>
      <c r="W55" s="777">
        <f>+'Plan de Accion 2018'!BQ32</f>
        <v>0</v>
      </c>
      <c r="X55" s="870">
        <f t="shared" si="2"/>
        <v>0</v>
      </c>
      <c r="Y55" s="777">
        <f>+'Plan de Accion 2018'!AZ32</f>
        <v>3.5769771600737597E-2</v>
      </c>
      <c r="Z55" s="892">
        <f t="shared" si="11"/>
        <v>3.5769771600737597E-2</v>
      </c>
      <c r="AA55" s="878">
        <f t="shared" si="3"/>
        <v>3.5769771600737597E-2</v>
      </c>
      <c r="AB55" s="324"/>
      <c r="AC55" s="330">
        <f>+'Plan de Accion 2018'!BE32</f>
        <v>0</v>
      </c>
      <c r="AD55" s="331">
        <f>+'Plan de Accion 2018'!BS32</f>
        <v>0</v>
      </c>
      <c r="AE55" s="870">
        <f t="shared" si="4"/>
        <v>0</v>
      </c>
      <c r="AF55" s="777">
        <f>+'Plan de Accion 2018'!BJ32</f>
        <v>3.5769771600737597E-2</v>
      </c>
      <c r="AG55" s="878">
        <f t="shared" si="5"/>
        <v>3.5769771600737597E-2</v>
      </c>
      <c r="AH55" s="351"/>
      <c r="AJ55" s="354"/>
      <c r="AK55" s="355"/>
      <c r="AL55" s="321"/>
      <c r="AM55" s="354"/>
      <c r="AN55" s="355"/>
      <c r="AO55" s="321"/>
      <c r="AP55" s="354"/>
      <c r="AQ55" s="355"/>
      <c r="AR55" s="321"/>
      <c r="AS55" s="354"/>
      <c r="AT55" s="355"/>
      <c r="AU55" s="328"/>
      <c r="AV55" s="350"/>
      <c r="AX55" s="354"/>
      <c r="AY55" s="355"/>
      <c r="AZ55" s="321"/>
      <c r="BA55" s="354"/>
      <c r="BB55" s="355"/>
      <c r="BC55" s="321"/>
      <c r="BD55" s="354"/>
      <c r="BE55" s="355"/>
      <c r="BF55" s="321"/>
      <c r="BG55" s="354"/>
      <c r="BH55" s="355"/>
      <c r="BI55" s="328"/>
      <c r="BJ55" s="350"/>
      <c r="BL55" s="354"/>
      <c r="BM55" s="355"/>
      <c r="BN55" s="321"/>
      <c r="BO55" s="354"/>
      <c r="BP55" s="355"/>
      <c r="BQ55" s="321"/>
      <c r="BR55" s="354"/>
      <c r="BS55" s="355"/>
      <c r="BT55" s="321"/>
      <c r="BU55" s="354"/>
      <c r="BV55" s="355"/>
      <c r="BW55" s="328"/>
      <c r="BX55" s="350"/>
      <c r="BZ55" s="354"/>
      <c r="CA55" s="355"/>
      <c r="CB55" s="321"/>
      <c r="CC55" s="354"/>
      <c r="CD55" s="355"/>
      <c r="CE55" s="321"/>
      <c r="CF55" s="354"/>
      <c r="CG55" s="355"/>
      <c r="CH55" s="321"/>
      <c r="CI55" s="354"/>
      <c r="CJ55" s="355"/>
      <c r="CK55" s="328"/>
      <c r="CL55" s="350"/>
    </row>
    <row r="56" spans="2:90" ht="15.75" thickBot="1" x14ac:dyDescent="0.25">
      <c r="B56" s="1177"/>
      <c r="C56" s="1140"/>
      <c r="D56" s="1158"/>
      <c r="E56" s="1158"/>
      <c r="F56" s="1160"/>
      <c r="G56" s="321"/>
      <c r="H56" s="388">
        <f>+'Plan de Accion 2018'!AA33</f>
        <v>0</v>
      </c>
      <c r="I56" s="777">
        <f>+'Plan de Accion 2018'!BM33</f>
        <v>0</v>
      </c>
      <c r="J56" s="777">
        <f t="shared" si="6"/>
        <v>0</v>
      </c>
      <c r="K56" s="777">
        <f>+'Plan de Accion 2018'!AF33</f>
        <v>0</v>
      </c>
      <c r="L56" s="777">
        <f t="shared" si="7"/>
        <v>0</v>
      </c>
      <c r="M56" s="1391">
        <f t="shared" si="8"/>
        <v>0</v>
      </c>
      <c r="N56" s="883"/>
      <c r="O56" s="776">
        <f>+'Plan de Accion 2018'!AK33</f>
        <v>0</v>
      </c>
      <c r="P56" s="777">
        <f>+'Plan de Accion 2018'!BO33</f>
        <v>0</v>
      </c>
      <c r="Q56" s="870">
        <f t="shared" si="0"/>
        <v>0</v>
      </c>
      <c r="R56" s="892">
        <f>+'Plan de Accion 2018'!AP33</f>
        <v>0</v>
      </c>
      <c r="S56" s="892">
        <f t="shared" si="9"/>
        <v>0</v>
      </c>
      <c r="T56" s="878">
        <f t="shared" si="1"/>
        <v>0</v>
      </c>
      <c r="U56" s="324"/>
      <c r="V56" s="776">
        <f>+'Plan de Accion 2018'!AU33</f>
        <v>0</v>
      </c>
      <c r="W56" s="777">
        <f>+'Plan de Accion 2018'!BQ33</f>
        <v>0</v>
      </c>
      <c r="X56" s="870">
        <f t="shared" si="2"/>
        <v>0</v>
      </c>
      <c r="Y56" s="777">
        <f>+'Plan de Accion 2018'!AZ33</f>
        <v>0</v>
      </c>
      <c r="Z56" s="892">
        <f t="shared" si="11"/>
        <v>0</v>
      </c>
      <c r="AA56" s="878">
        <f t="shared" si="3"/>
        <v>0</v>
      </c>
      <c r="AB56" s="324"/>
      <c r="AC56" s="330">
        <f>+'Plan de Accion 2018'!BE33</f>
        <v>0</v>
      </c>
      <c r="AD56" s="331">
        <f>+'Plan de Accion 2018'!BS33</f>
        <v>0</v>
      </c>
      <c r="AE56" s="870">
        <f t="shared" si="4"/>
        <v>0</v>
      </c>
      <c r="AF56" s="777">
        <f>+'Plan de Accion 2018'!BJ33</f>
        <v>0</v>
      </c>
      <c r="AG56" s="878">
        <f t="shared" si="5"/>
        <v>0</v>
      </c>
      <c r="AH56" s="351"/>
      <c r="AJ56" s="354"/>
      <c r="AK56" s="355"/>
      <c r="AL56" s="321"/>
      <c r="AM56" s="354"/>
      <c r="AN56" s="355"/>
      <c r="AO56" s="321"/>
      <c r="AP56" s="354"/>
      <c r="AQ56" s="355"/>
      <c r="AR56" s="321"/>
      <c r="AS56" s="354"/>
      <c r="AT56" s="355"/>
      <c r="AU56" s="328"/>
      <c r="AV56" s="350"/>
      <c r="AX56" s="354"/>
      <c r="AY56" s="355"/>
      <c r="AZ56" s="321"/>
      <c r="BA56" s="354"/>
      <c r="BB56" s="355"/>
      <c r="BC56" s="321"/>
      <c r="BD56" s="354"/>
      <c r="BE56" s="355"/>
      <c r="BF56" s="321"/>
      <c r="BG56" s="354"/>
      <c r="BH56" s="355"/>
      <c r="BI56" s="328"/>
      <c r="BJ56" s="350"/>
      <c r="BL56" s="354"/>
      <c r="BM56" s="355"/>
      <c r="BN56" s="321"/>
      <c r="BO56" s="354"/>
      <c r="BP56" s="355"/>
      <c r="BQ56" s="321"/>
      <c r="BR56" s="354"/>
      <c r="BS56" s="355"/>
      <c r="BT56" s="321"/>
      <c r="BU56" s="354"/>
      <c r="BV56" s="355"/>
      <c r="BW56" s="328"/>
      <c r="BX56" s="350"/>
      <c r="BZ56" s="354"/>
      <c r="CA56" s="355"/>
      <c r="CB56" s="321"/>
      <c r="CC56" s="354"/>
      <c r="CD56" s="355"/>
      <c r="CE56" s="321"/>
      <c r="CF56" s="354"/>
      <c r="CG56" s="355"/>
      <c r="CH56" s="321"/>
      <c r="CI56" s="354"/>
      <c r="CJ56" s="355"/>
      <c r="CK56" s="328"/>
      <c r="CL56" s="350"/>
    </row>
    <row r="57" spans="2:90" ht="15.75" thickBot="1" x14ac:dyDescent="0.25">
      <c r="B57" s="1177"/>
      <c r="C57" s="1140"/>
      <c r="D57" s="1158"/>
      <c r="E57" s="1158"/>
      <c r="F57" s="1160"/>
      <c r="G57" s="321"/>
      <c r="H57" s="388">
        <f>+'Plan de Accion 2018'!AA34</f>
        <v>0.26111160951589168</v>
      </c>
      <c r="I57" s="777">
        <f>+'Plan de Accion 2018'!BM34</f>
        <v>1.0444464380635667</v>
      </c>
      <c r="J57" s="777">
        <f t="shared" si="6"/>
        <v>1</v>
      </c>
      <c r="K57" s="777">
        <f>+'Plan de Accion 2018'!AF34</f>
        <v>0.26111160951589168</v>
      </c>
      <c r="L57" s="777">
        <f t="shared" si="7"/>
        <v>0.25</v>
      </c>
      <c r="M57" s="1391">
        <f t="shared" si="8"/>
        <v>0.25</v>
      </c>
      <c r="N57" s="883">
        <v>1</v>
      </c>
      <c r="O57" s="776">
        <f>+'Plan de Accion 2018'!AK34</f>
        <v>0.38625807326611045</v>
      </c>
      <c r="P57" s="777">
        <f>+'Plan de Accion 2018'!BO34</f>
        <v>1.5450322930644418</v>
      </c>
      <c r="Q57" s="870">
        <f t="shared" si="0"/>
        <v>1</v>
      </c>
      <c r="R57" s="892">
        <f>+'Plan de Accion 2018'!AP34</f>
        <v>0.64736968278200213</v>
      </c>
      <c r="S57" s="892">
        <f t="shared" si="9"/>
        <v>0.5</v>
      </c>
      <c r="T57" s="878">
        <f t="shared" si="1"/>
        <v>0.5</v>
      </c>
      <c r="U57" s="883">
        <v>1</v>
      </c>
      <c r="V57" s="776">
        <f>+'Plan de Accion 2018'!AU34</f>
        <v>0</v>
      </c>
      <c r="W57" s="777">
        <f>+'Plan de Accion 2018'!BQ34</f>
        <v>0</v>
      </c>
      <c r="X57" s="870">
        <f t="shared" si="2"/>
        <v>0</v>
      </c>
      <c r="Y57" s="777">
        <f>+'Plan de Accion 2018'!AZ34</f>
        <v>0.64736968278200213</v>
      </c>
      <c r="Z57" s="892">
        <f t="shared" si="11"/>
        <v>0.64736968278200213</v>
      </c>
      <c r="AA57" s="878">
        <f t="shared" si="3"/>
        <v>0.64736968278200213</v>
      </c>
      <c r="AB57" s="324"/>
      <c r="AC57" s="330">
        <f>+'Plan de Accion 2018'!BE34</f>
        <v>0</v>
      </c>
      <c r="AD57" s="331">
        <f>+'Plan de Accion 2018'!BS34</f>
        <v>0</v>
      </c>
      <c r="AE57" s="870">
        <f t="shared" si="4"/>
        <v>0</v>
      </c>
      <c r="AF57" s="777">
        <f>+'Plan de Accion 2018'!BJ34</f>
        <v>0.64736968278200213</v>
      </c>
      <c r="AG57" s="878">
        <f t="shared" si="5"/>
        <v>0.64736968278200213</v>
      </c>
      <c r="AH57" s="351"/>
      <c r="AJ57" s="354"/>
      <c r="AK57" s="355"/>
      <c r="AL57" s="321"/>
      <c r="AM57" s="354"/>
      <c r="AN57" s="355"/>
      <c r="AO57" s="321"/>
      <c r="AP57" s="354"/>
      <c r="AQ57" s="355"/>
      <c r="AR57" s="321"/>
      <c r="AS57" s="354"/>
      <c r="AT57" s="355"/>
      <c r="AU57" s="328"/>
      <c r="AV57" s="350"/>
      <c r="AX57" s="354"/>
      <c r="AY57" s="355"/>
      <c r="AZ57" s="321"/>
      <c r="BA57" s="354"/>
      <c r="BB57" s="355"/>
      <c r="BC57" s="321"/>
      <c r="BD57" s="354"/>
      <c r="BE57" s="355"/>
      <c r="BF57" s="321"/>
      <c r="BG57" s="354"/>
      <c r="BH57" s="355"/>
      <c r="BI57" s="328"/>
      <c r="BJ57" s="350"/>
      <c r="BL57" s="354"/>
      <c r="BM57" s="355"/>
      <c r="BN57" s="321"/>
      <c r="BO57" s="354"/>
      <c r="BP57" s="355"/>
      <c r="BQ57" s="321"/>
      <c r="BR57" s="354"/>
      <c r="BS57" s="355"/>
      <c r="BT57" s="321"/>
      <c r="BU57" s="354"/>
      <c r="BV57" s="355"/>
      <c r="BW57" s="328"/>
      <c r="BX57" s="350"/>
      <c r="BZ57" s="354"/>
      <c r="CA57" s="355"/>
      <c r="CB57" s="321"/>
      <c r="CC57" s="354"/>
      <c r="CD57" s="355"/>
      <c r="CE57" s="321"/>
      <c r="CF57" s="354"/>
      <c r="CG57" s="355"/>
      <c r="CH57" s="321"/>
      <c r="CI57" s="354"/>
      <c r="CJ57" s="355"/>
      <c r="CK57" s="328"/>
      <c r="CL57" s="350"/>
    </row>
    <row r="58" spans="2:90" ht="15.75" thickBot="1" x14ac:dyDescent="0.25">
      <c r="B58" s="1177"/>
      <c r="C58" s="1140"/>
      <c r="D58" s="1158"/>
      <c r="E58" s="1158"/>
      <c r="F58" s="1161"/>
      <c r="G58" s="321"/>
      <c r="H58" s="388">
        <f>+'Plan de Accion 2018'!AA35</f>
        <v>0</v>
      </c>
      <c r="I58" s="777">
        <f>+'Plan de Accion 2018'!BM35</f>
        <v>0</v>
      </c>
      <c r="J58" s="777">
        <f t="shared" si="6"/>
        <v>0</v>
      </c>
      <c r="K58" s="777">
        <f>+'Plan de Accion 2018'!AF35</f>
        <v>0</v>
      </c>
      <c r="L58" s="777">
        <f t="shared" si="7"/>
        <v>0</v>
      </c>
      <c r="M58" s="1391">
        <f t="shared" si="8"/>
        <v>0</v>
      </c>
      <c r="N58" s="883"/>
      <c r="O58" s="776">
        <f>+'Plan de Accion 2018'!AK35</f>
        <v>0</v>
      </c>
      <c r="P58" s="777">
        <f>+'Plan de Accion 2018'!BO35</f>
        <v>0</v>
      </c>
      <c r="Q58" s="870">
        <f t="shared" si="0"/>
        <v>0</v>
      </c>
      <c r="R58" s="892">
        <f>+'Plan de Accion 2018'!AP35</f>
        <v>0</v>
      </c>
      <c r="S58" s="892">
        <f t="shared" si="9"/>
        <v>0</v>
      </c>
      <c r="T58" s="878">
        <f t="shared" si="1"/>
        <v>0</v>
      </c>
      <c r="U58" s="324"/>
      <c r="V58" s="776">
        <f>+'Plan de Accion 2018'!AU35</f>
        <v>0</v>
      </c>
      <c r="W58" s="777">
        <f>+'Plan de Accion 2018'!BQ35</f>
        <v>0</v>
      </c>
      <c r="X58" s="870">
        <f t="shared" si="2"/>
        <v>0</v>
      </c>
      <c r="Y58" s="777">
        <f>+'Plan de Accion 2018'!AZ35</f>
        <v>0</v>
      </c>
      <c r="Z58" s="892">
        <f t="shared" si="11"/>
        <v>0</v>
      </c>
      <c r="AA58" s="878">
        <f t="shared" si="3"/>
        <v>0</v>
      </c>
      <c r="AB58" s="324"/>
      <c r="AC58" s="330">
        <f>+'Plan de Accion 2018'!BE35</f>
        <v>0</v>
      </c>
      <c r="AD58" s="331">
        <f>+'Plan de Accion 2018'!BS35</f>
        <v>0</v>
      </c>
      <c r="AE58" s="870">
        <f t="shared" si="4"/>
        <v>0</v>
      </c>
      <c r="AF58" s="777">
        <f>+'Plan de Accion 2018'!BJ35</f>
        <v>0</v>
      </c>
      <c r="AG58" s="878">
        <f t="shared" si="5"/>
        <v>0</v>
      </c>
      <c r="AH58" s="351"/>
      <c r="AJ58" s="354"/>
      <c r="AK58" s="355"/>
      <c r="AL58" s="321"/>
      <c r="AM58" s="354"/>
      <c r="AN58" s="355"/>
      <c r="AO58" s="321"/>
      <c r="AP58" s="354"/>
      <c r="AQ58" s="355"/>
      <c r="AR58" s="321"/>
      <c r="AS58" s="354"/>
      <c r="AT58" s="355"/>
      <c r="AU58" s="328"/>
      <c r="AV58" s="350"/>
      <c r="AX58" s="354"/>
      <c r="AY58" s="355"/>
      <c r="AZ58" s="321"/>
      <c r="BA58" s="354"/>
      <c r="BB58" s="355"/>
      <c r="BC58" s="321"/>
      <c r="BD58" s="354"/>
      <c r="BE58" s="355"/>
      <c r="BF58" s="321"/>
      <c r="BG58" s="354"/>
      <c r="BH58" s="355"/>
      <c r="BI58" s="328"/>
      <c r="BJ58" s="350"/>
      <c r="BL58" s="354"/>
      <c r="BM58" s="355"/>
      <c r="BN58" s="321"/>
      <c r="BO58" s="354"/>
      <c r="BP58" s="355"/>
      <c r="BQ58" s="321"/>
      <c r="BR58" s="354"/>
      <c r="BS58" s="355"/>
      <c r="BT58" s="321"/>
      <c r="BU58" s="354"/>
      <c r="BV58" s="355"/>
      <c r="BW58" s="328"/>
      <c r="BX58" s="350"/>
      <c r="BZ58" s="354"/>
      <c r="CA58" s="355"/>
      <c r="CB58" s="321"/>
      <c r="CC58" s="354"/>
      <c r="CD58" s="355"/>
      <c r="CE58" s="321"/>
      <c r="CF58" s="354"/>
      <c r="CG58" s="355"/>
      <c r="CH58" s="321"/>
      <c r="CI58" s="354"/>
      <c r="CJ58" s="355"/>
      <c r="CK58" s="328"/>
      <c r="CL58" s="350"/>
    </row>
    <row r="59" spans="2:90" ht="29.25" thickBot="1" x14ac:dyDescent="0.25">
      <c r="B59" s="1177"/>
      <c r="C59" s="1140"/>
      <c r="D59" s="332" t="str">
        <f>+'Plan de Accion 2018'!F36</f>
        <v>Publicación  Ejecución Presupuestal</v>
      </c>
      <c r="E59" s="1158"/>
      <c r="F59" s="1187" t="s">
        <v>815</v>
      </c>
      <c r="G59" s="321"/>
      <c r="H59" s="388">
        <f>+'Plan de Accion 2018'!AD36</f>
        <v>0.50000003244537483</v>
      </c>
      <c r="I59" s="777">
        <f>+'Plan de Accion 2018'!BM36</f>
        <v>0.50000003244537483</v>
      </c>
      <c r="J59" s="777">
        <f t="shared" si="6"/>
        <v>0.50000003244537483</v>
      </c>
      <c r="K59" s="777">
        <f>+'Plan de Accion 2018'!AF36</f>
        <v>0.12500000811134371</v>
      </c>
      <c r="L59" s="777">
        <f t="shared" si="7"/>
        <v>0.12500000811134371</v>
      </c>
      <c r="M59" s="1391">
        <f t="shared" si="8"/>
        <v>0.12500000811134371</v>
      </c>
      <c r="N59" s="883"/>
      <c r="O59" s="776">
        <f>+'Plan de Accion 2018'!AN36</f>
        <v>1</v>
      </c>
      <c r="P59" s="777">
        <f>+'Plan de Accion 2018'!BO36</f>
        <v>1</v>
      </c>
      <c r="Q59" s="870">
        <f t="shared" si="0"/>
        <v>1</v>
      </c>
      <c r="R59" s="879">
        <f>+'Plan de Accion 2018'!AP36</f>
        <v>0.37500000811134371</v>
      </c>
      <c r="S59" s="879">
        <f t="shared" si="9"/>
        <v>0.37500000811134371</v>
      </c>
      <c r="T59" s="878">
        <f t="shared" si="1"/>
        <v>0.37500000811134371</v>
      </c>
      <c r="U59" s="324"/>
      <c r="V59" s="776">
        <f>+'Plan de Accion 2018'!AX36</f>
        <v>0</v>
      </c>
      <c r="W59" s="777">
        <f>+'Plan de Accion 2018'!BQ36</f>
        <v>0</v>
      </c>
      <c r="X59" s="870">
        <f t="shared" si="2"/>
        <v>0</v>
      </c>
      <c r="Y59" s="777">
        <f>+'Plan de Accion 2018'!AZ36</f>
        <v>0.37500000811134371</v>
      </c>
      <c r="Z59" s="892">
        <f t="shared" si="11"/>
        <v>0.37500000811134371</v>
      </c>
      <c r="AA59" s="878">
        <f t="shared" si="3"/>
        <v>0.37500000811134371</v>
      </c>
      <c r="AB59" s="324"/>
      <c r="AC59" s="330">
        <f>+'Plan de Accion 2018'!BH36</f>
        <v>0</v>
      </c>
      <c r="AD59" s="331">
        <f>+'Plan de Accion 2018'!BS36</f>
        <v>0</v>
      </c>
      <c r="AE59" s="870">
        <f t="shared" si="4"/>
        <v>0</v>
      </c>
      <c r="AF59" s="777">
        <f>+'Plan de Accion 2018'!BJ36</f>
        <v>0.37500000811134371</v>
      </c>
      <c r="AG59" s="878">
        <f t="shared" si="5"/>
        <v>0.37500000811134371</v>
      </c>
      <c r="AH59" s="351"/>
      <c r="AJ59" s="354"/>
      <c r="AK59" s="355"/>
      <c r="AL59" s="321"/>
      <c r="AM59" s="354"/>
      <c r="AN59" s="355"/>
      <c r="AO59" s="321"/>
      <c r="AP59" s="354"/>
      <c r="AQ59" s="355"/>
      <c r="AR59" s="321"/>
      <c r="AS59" s="354"/>
      <c r="AT59" s="355"/>
      <c r="AU59" s="328"/>
      <c r="AV59" s="350"/>
      <c r="AX59" s="354"/>
      <c r="AY59" s="355"/>
      <c r="AZ59" s="321"/>
      <c r="BA59" s="354"/>
      <c r="BB59" s="355"/>
      <c r="BC59" s="321"/>
      <c r="BD59" s="354"/>
      <c r="BE59" s="355"/>
      <c r="BF59" s="321"/>
      <c r="BG59" s="354"/>
      <c r="BH59" s="355"/>
      <c r="BI59" s="328"/>
      <c r="BJ59" s="350"/>
      <c r="BL59" s="354"/>
      <c r="BM59" s="355"/>
      <c r="BN59" s="321"/>
      <c r="BO59" s="354"/>
      <c r="BP59" s="355"/>
      <c r="BQ59" s="321"/>
      <c r="BR59" s="354"/>
      <c r="BS59" s="355"/>
      <c r="BT59" s="321"/>
      <c r="BU59" s="354"/>
      <c r="BV59" s="355"/>
      <c r="BW59" s="328"/>
      <c r="BX59" s="350"/>
      <c r="BZ59" s="354"/>
      <c r="CA59" s="355"/>
      <c r="CB59" s="321"/>
      <c r="CC59" s="354"/>
      <c r="CD59" s="355"/>
      <c r="CE59" s="321"/>
      <c r="CF59" s="354"/>
      <c r="CG59" s="355"/>
      <c r="CH59" s="321"/>
      <c r="CI59" s="354"/>
      <c r="CJ59" s="355"/>
      <c r="CK59" s="328"/>
      <c r="CL59" s="350"/>
    </row>
    <row r="60" spans="2:90" ht="15.75" thickBot="1" x14ac:dyDescent="0.25">
      <c r="B60" s="1177"/>
      <c r="C60" s="1140"/>
      <c r="D60" s="332" t="str">
        <f>+'Plan de Accion 2018'!F37</f>
        <v>Gestión de Recaudo</v>
      </c>
      <c r="E60" s="1158"/>
      <c r="F60" s="1189"/>
      <c r="G60" s="321"/>
      <c r="H60" s="388">
        <f>+'Plan de Accion 2018'!AD37</f>
        <v>0.8574837141375371</v>
      </c>
      <c r="I60" s="777">
        <f>+'Plan de Accion 2018'!BM37</f>
        <v>0.8574837141375371</v>
      </c>
      <c r="J60" s="777">
        <f t="shared" si="6"/>
        <v>0.8574837141375371</v>
      </c>
      <c r="K60" s="777">
        <f>+'Plan de Accion 2018'!AF37</f>
        <v>0.21437092853438428</v>
      </c>
      <c r="L60" s="777">
        <f t="shared" si="7"/>
        <v>0.21437092853438428</v>
      </c>
      <c r="M60" s="1391">
        <f t="shared" si="8"/>
        <v>0.21437092853438428</v>
      </c>
      <c r="N60" s="883"/>
      <c r="O60" s="776">
        <f>+'Plan de Accion 2018'!AN37</f>
        <v>1</v>
      </c>
      <c r="P60" s="777">
        <f>+'Plan de Accion 2018'!BO37</f>
        <v>1</v>
      </c>
      <c r="Q60" s="870">
        <f t="shared" si="0"/>
        <v>1</v>
      </c>
      <c r="R60" s="892">
        <f>+'Plan de Accion 2018'!AP37</f>
        <v>0.46437092853438428</v>
      </c>
      <c r="S60" s="892">
        <f t="shared" si="9"/>
        <v>0.46437092853438428</v>
      </c>
      <c r="T60" s="878">
        <f t="shared" si="1"/>
        <v>0.46437092853438428</v>
      </c>
      <c r="U60" s="324"/>
      <c r="V60" s="776">
        <f>+'Plan de Accion 2018'!AX37</f>
        <v>0</v>
      </c>
      <c r="W60" s="777">
        <f>+'Plan de Accion 2018'!BQ37</f>
        <v>0</v>
      </c>
      <c r="X60" s="870">
        <f t="shared" si="2"/>
        <v>0</v>
      </c>
      <c r="Y60" s="777">
        <f>+'Plan de Accion 2018'!AZ37</f>
        <v>0.46437092853438428</v>
      </c>
      <c r="Z60" s="892">
        <f t="shared" si="11"/>
        <v>0.46437092853438428</v>
      </c>
      <c r="AA60" s="878">
        <f t="shared" si="3"/>
        <v>0.46437092853438428</v>
      </c>
      <c r="AB60" s="324"/>
      <c r="AC60" s="330">
        <f>+'Plan de Accion 2018'!BH37</f>
        <v>0</v>
      </c>
      <c r="AD60" s="331">
        <f>+'Plan de Accion 2018'!BS37</f>
        <v>0</v>
      </c>
      <c r="AE60" s="870">
        <f t="shared" si="4"/>
        <v>0</v>
      </c>
      <c r="AF60" s="777">
        <f>+'Plan de Accion 2018'!BJ37</f>
        <v>0.46437092853438428</v>
      </c>
      <c r="AG60" s="878">
        <f t="shared" si="5"/>
        <v>0.46437092853438428</v>
      </c>
      <c r="AH60" s="351"/>
      <c r="AJ60" s="354"/>
      <c r="AK60" s="355"/>
      <c r="AL60" s="321"/>
      <c r="AM60" s="354"/>
      <c r="AN60" s="355"/>
      <c r="AO60" s="321"/>
      <c r="AP60" s="354"/>
      <c r="AQ60" s="355"/>
      <c r="AR60" s="321"/>
      <c r="AS60" s="354"/>
      <c r="AT60" s="355"/>
      <c r="AU60" s="328"/>
      <c r="AV60" s="350"/>
      <c r="AX60" s="354"/>
      <c r="AY60" s="355"/>
      <c r="AZ60" s="321"/>
      <c r="BA60" s="354"/>
      <c r="BB60" s="355"/>
      <c r="BC60" s="321"/>
      <c r="BD60" s="354"/>
      <c r="BE60" s="355"/>
      <c r="BF60" s="321"/>
      <c r="BG60" s="354"/>
      <c r="BH60" s="355"/>
      <c r="BI60" s="328"/>
      <c r="BJ60" s="350"/>
      <c r="BL60" s="354"/>
      <c r="BM60" s="355"/>
      <c r="BN60" s="321"/>
      <c r="BO60" s="354"/>
      <c r="BP60" s="355"/>
      <c r="BQ60" s="321"/>
      <c r="BR60" s="354"/>
      <c r="BS60" s="355"/>
      <c r="BT60" s="321"/>
      <c r="BU60" s="354"/>
      <c r="BV60" s="355"/>
      <c r="BW60" s="328"/>
      <c r="BX60" s="350"/>
      <c r="BZ60" s="354"/>
      <c r="CA60" s="355"/>
      <c r="CB60" s="321"/>
      <c r="CC60" s="354"/>
      <c r="CD60" s="355"/>
      <c r="CE60" s="321"/>
      <c r="CF60" s="354"/>
      <c r="CG60" s="355"/>
      <c r="CH60" s="321"/>
      <c r="CI60" s="354"/>
      <c r="CJ60" s="355"/>
      <c r="CK60" s="328"/>
      <c r="CL60" s="350"/>
    </row>
    <row r="61" spans="2:90" ht="15.75" thickBot="1" x14ac:dyDescent="0.25">
      <c r="B61" s="1177"/>
      <c r="C61" s="1140"/>
      <c r="D61" s="332" t="str">
        <f>+'Plan de Accion 2018'!F40</f>
        <v>Ordenes de Giros</v>
      </c>
      <c r="E61" s="1158"/>
      <c r="F61" s="1189"/>
      <c r="G61" s="321"/>
      <c r="H61" s="388">
        <f>+'Plan de Accion 2018'!AD40</f>
        <v>0.87371548457995329</v>
      </c>
      <c r="I61" s="777">
        <f>+'Plan de Accion 2018'!BM40</f>
        <v>0.87371548457995329</v>
      </c>
      <c r="J61" s="777">
        <f t="shared" si="6"/>
        <v>0.87371548457995329</v>
      </c>
      <c r="K61" s="777">
        <f>+'Plan de Accion 2018'!AF40</f>
        <v>0.21842887114498832</v>
      </c>
      <c r="L61" s="777">
        <f t="shared" si="7"/>
        <v>0.21842887114498832</v>
      </c>
      <c r="M61" s="1391">
        <f t="shared" si="8"/>
        <v>0.21842887114498832</v>
      </c>
      <c r="N61" s="883"/>
      <c r="O61" s="776">
        <f>+'Plan de Accion 2018'!AN40</f>
        <v>1</v>
      </c>
      <c r="P61" s="777">
        <f>+'Plan de Accion 2018'!BO40</f>
        <v>1</v>
      </c>
      <c r="Q61" s="870">
        <f t="shared" si="0"/>
        <v>1</v>
      </c>
      <c r="R61" s="892">
        <f>+'Plan de Accion 2018'!AP40</f>
        <v>0.46842887114498832</v>
      </c>
      <c r="S61" s="892">
        <f t="shared" si="9"/>
        <v>0.46842887114498832</v>
      </c>
      <c r="T61" s="878">
        <f t="shared" si="1"/>
        <v>0.46842887114498832</v>
      </c>
      <c r="U61" s="324"/>
      <c r="V61" s="776">
        <f>+'Plan de Accion 2018'!AX40</f>
        <v>0</v>
      </c>
      <c r="W61" s="777">
        <f>+'Plan de Accion 2018'!BQ40</f>
        <v>0</v>
      </c>
      <c r="X61" s="870">
        <f t="shared" si="2"/>
        <v>0</v>
      </c>
      <c r="Y61" s="777">
        <f>+'Plan de Accion 2018'!AZ40</f>
        <v>0.46842887114498832</v>
      </c>
      <c r="Z61" s="892">
        <f t="shared" si="11"/>
        <v>0.46842887114498832</v>
      </c>
      <c r="AA61" s="878">
        <f t="shared" si="3"/>
        <v>0.46842887114498832</v>
      </c>
      <c r="AB61" s="324"/>
      <c r="AC61" s="330">
        <f>+'Plan de Accion 2018'!BH40</f>
        <v>0</v>
      </c>
      <c r="AD61" s="331">
        <f>+'Plan de Accion 2018'!BS40</f>
        <v>0</v>
      </c>
      <c r="AE61" s="870">
        <f t="shared" si="4"/>
        <v>0</v>
      </c>
      <c r="AF61" s="777">
        <f>+'Plan de Accion 2018'!BJ40</f>
        <v>0.46842887114498832</v>
      </c>
      <c r="AG61" s="878">
        <f t="shared" si="5"/>
        <v>0.46842887114498832</v>
      </c>
      <c r="AH61" s="351"/>
      <c r="AJ61" s="354"/>
      <c r="AK61" s="355"/>
      <c r="AL61" s="321"/>
      <c r="AM61" s="354"/>
      <c r="AN61" s="355"/>
      <c r="AO61" s="321"/>
      <c r="AP61" s="354"/>
      <c r="AQ61" s="355"/>
      <c r="AR61" s="321"/>
      <c r="AS61" s="354"/>
      <c r="AT61" s="355"/>
      <c r="AU61" s="328"/>
      <c r="AV61" s="350"/>
      <c r="AX61" s="354"/>
      <c r="AY61" s="355"/>
      <c r="AZ61" s="321"/>
      <c r="BA61" s="354"/>
      <c r="BB61" s="355"/>
      <c r="BC61" s="321"/>
      <c r="BD61" s="354"/>
      <c r="BE61" s="355"/>
      <c r="BF61" s="321"/>
      <c r="BG61" s="354"/>
      <c r="BH61" s="355"/>
      <c r="BI61" s="328"/>
      <c r="BJ61" s="350"/>
      <c r="BL61" s="354"/>
      <c r="BM61" s="355"/>
      <c r="BN61" s="321"/>
      <c r="BO61" s="354"/>
      <c r="BP61" s="355"/>
      <c r="BQ61" s="321"/>
      <c r="BR61" s="354"/>
      <c r="BS61" s="355"/>
      <c r="BT61" s="321"/>
      <c r="BU61" s="354"/>
      <c r="BV61" s="355"/>
      <c r="BW61" s="328"/>
      <c r="BX61" s="350"/>
      <c r="BZ61" s="354"/>
      <c r="CA61" s="355"/>
      <c r="CB61" s="321"/>
      <c r="CC61" s="354"/>
      <c r="CD61" s="355"/>
      <c r="CE61" s="321"/>
      <c r="CF61" s="354"/>
      <c r="CG61" s="355"/>
      <c r="CH61" s="321"/>
      <c r="CI61" s="354"/>
      <c r="CJ61" s="355"/>
      <c r="CK61" s="328"/>
      <c r="CL61" s="350"/>
    </row>
    <row r="62" spans="2:90" ht="15.75" thickBot="1" x14ac:dyDescent="0.25">
      <c r="B62" s="1177"/>
      <c r="C62" s="1140"/>
      <c r="D62" s="332" t="str">
        <f>+'Plan de Accion 2018'!F41</f>
        <v>Portafolio</v>
      </c>
      <c r="E62" s="1158"/>
      <c r="F62" s="1189"/>
      <c r="G62" s="321"/>
      <c r="H62" s="388">
        <f>+'Plan de Accion 2018'!AD41</f>
        <v>0.87777777777777777</v>
      </c>
      <c r="I62" s="777">
        <f>+'Plan de Accion 2018'!BM41</f>
        <v>0.87777777777777777</v>
      </c>
      <c r="J62" s="777">
        <f t="shared" si="6"/>
        <v>0.87777777777777777</v>
      </c>
      <c r="K62" s="777">
        <f>+'Plan de Accion 2018'!AF41</f>
        <v>0.21944444444444444</v>
      </c>
      <c r="L62" s="777">
        <f t="shared" si="7"/>
        <v>0.21944444444444444</v>
      </c>
      <c r="M62" s="1391">
        <f t="shared" si="8"/>
        <v>0.21944444444444444</v>
      </c>
      <c r="N62" s="883"/>
      <c r="O62" s="776">
        <f>+'Plan de Accion 2018'!AN41</f>
        <v>1</v>
      </c>
      <c r="P62" s="777">
        <f>+'Plan de Accion 2018'!BO41</f>
        <v>1</v>
      </c>
      <c r="Q62" s="870">
        <f t="shared" si="0"/>
        <v>1</v>
      </c>
      <c r="R62" s="892">
        <f>+'Plan de Accion 2018'!AP41</f>
        <v>0.46944444444444444</v>
      </c>
      <c r="S62" s="892">
        <f t="shared" si="9"/>
        <v>0.46944444444444444</v>
      </c>
      <c r="T62" s="878">
        <f t="shared" si="1"/>
        <v>0.46944444444444444</v>
      </c>
      <c r="U62" s="324"/>
      <c r="V62" s="776">
        <f>+'Plan de Accion 2018'!AX41</f>
        <v>0</v>
      </c>
      <c r="W62" s="777">
        <f>+'Plan de Accion 2018'!BQ41</f>
        <v>0</v>
      </c>
      <c r="X62" s="870">
        <f t="shared" si="2"/>
        <v>0</v>
      </c>
      <c r="Y62" s="777">
        <f>+'Plan de Accion 2018'!AZ41</f>
        <v>0.46944444444444444</v>
      </c>
      <c r="Z62" s="892">
        <f t="shared" si="11"/>
        <v>0.46944444444444444</v>
      </c>
      <c r="AA62" s="878">
        <f t="shared" si="3"/>
        <v>0.46944444444444444</v>
      </c>
      <c r="AB62" s="324"/>
      <c r="AC62" s="330">
        <f>+'Plan de Accion 2018'!BH41</f>
        <v>0</v>
      </c>
      <c r="AD62" s="331">
        <f>+'Plan de Accion 2018'!BS41</f>
        <v>0</v>
      </c>
      <c r="AE62" s="870">
        <f t="shared" si="4"/>
        <v>0</v>
      </c>
      <c r="AF62" s="777">
        <f>+'Plan de Accion 2018'!BJ41</f>
        <v>0.46944444444444444</v>
      </c>
      <c r="AG62" s="878">
        <f t="shared" si="5"/>
        <v>0.46944444444444444</v>
      </c>
      <c r="AH62" s="351"/>
      <c r="AJ62" s="354"/>
      <c r="AK62" s="355"/>
      <c r="AL62" s="321"/>
      <c r="AM62" s="354"/>
      <c r="AN62" s="355"/>
      <c r="AO62" s="321"/>
      <c r="AP62" s="354"/>
      <c r="AQ62" s="355"/>
      <c r="AR62" s="321"/>
      <c r="AS62" s="354"/>
      <c r="AT62" s="355"/>
      <c r="AU62" s="328"/>
      <c r="AV62" s="350"/>
      <c r="AX62" s="354"/>
      <c r="AY62" s="355"/>
      <c r="AZ62" s="321"/>
      <c r="BA62" s="354"/>
      <c r="BB62" s="355"/>
      <c r="BC62" s="321"/>
      <c r="BD62" s="354"/>
      <c r="BE62" s="355"/>
      <c r="BF62" s="321"/>
      <c r="BG62" s="354"/>
      <c r="BH62" s="355"/>
      <c r="BI62" s="328"/>
      <c r="BJ62" s="350"/>
      <c r="BL62" s="354"/>
      <c r="BM62" s="355"/>
      <c r="BN62" s="321"/>
      <c r="BO62" s="354"/>
      <c r="BP62" s="355"/>
      <c r="BQ62" s="321"/>
      <c r="BR62" s="354"/>
      <c r="BS62" s="355"/>
      <c r="BT62" s="321"/>
      <c r="BU62" s="354"/>
      <c r="BV62" s="355"/>
      <c r="BW62" s="328"/>
      <c r="BX62" s="350"/>
      <c r="BZ62" s="354"/>
      <c r="CA62" s="355"/>
      <c r="CB62" s="321"/>
      <c r="CC62" s="354"/>
      <c r="CD62" s="355"/>
      <c r="CE62" s="321"/>
      <c r="CF62" s="354"/>
      <c r="CG62" s="355"/>
      <c r="CH62" s="321"/>
      <c r="CI62" s="354"/>
      <c r="CJ62" s="355"/>
      <c r="CK62" s="328"/>
      <c r="CL62" s="350"/>
    </row>
    <row r="63" spans="2:90" ht="29.25" customHeight="1" thickBot="1" x14ac:dyDescent="0.25">
      <c r="B63" s="1177"/>
      <c r="C63" s="1141"/>
      <c r="D63" s="426" t="str">
        <f>+'Plan de Accion 2018'!F44</f>
        <v>Administración y Custodia del Portafolio de Inversión</v>
      </c>
      <c r="E63" s="1099"/>
      <c r="F63" s="1189"/>
      <c r="G63" s="321"/>
      <c r="H63" s="388">
        <f>+'Plan de Accion 2018'!AD44</f>
        <v>0</v>
      </c>
      <c r="I63" s="777">
        <f>+'Plan de Accion 2018'!BM44</f>
        <v>0</v>
      </c>
      <c r="J63" s="777">
        <f t="shared" si="6"/>
        <v>0</v>
      </c>
      <c r="K63" s="777">
        <f>+'Plan de Accion 2018'!AF44</f>
        <v>0</v>
      </c>
      <c r="L63" s="777">
        <f t="shared" si="7"/>
        <v>0</v>
      </c>
      <c r="M63" s="1391">
        <f t="shared" si="8"/>
        <v>0</v>
      </c>
      <c r="N63" s="883"/>
      <c r="O63" s="776">
        <f>+'Plan de Accion 2018'!AN44</f>
        <v>0</v>
      </c>
      <c r="P63" s="777">
        <f>+'Plan de Accion 2018'!BO44</f>
        <v>0</v>
      </c>
      <c r="Q63" s="870">
        <f t="shared" si="0"/>
        <v>0</v>
      </c>
      <c r="R63" s="892">
        <f>+'Plan de Accion 2018'!AP44</f>
        <v>0</v>
      </c>
      <c r="S63" s="892">
        <f t="shared" si="9"/>
        <v>0</v>
      </c>
      <c r="T63" s="878">
        <f t="shared" si="1"/>
        <v>0</v>
      </c>
      <c r="U63" s="324"/>
      <c r="V63" s="776">
        <f>+'Plan de Accion 2018'!AX44</f>
        <v>0</v>
      </c>
      <c r="W63" s="777">
        <f>+'Plan de Accion 2018'!BQ44</f>
        <v>0</v>
      </c>
      <c r="X63" s="870">
        <f t="shared" si="2"/>
        <v>0</v>
      </c>
      <c r="Y63" s="777">
        <f>+'Plan de Accion 2018'!AZ44</f>
        <v>0</v>
      </c>
      <c r="Z63" s="892">
        <f t="shared" si="11"/>
        <v>0</v>
      </c>
      <c r="AA63" s="878">
        <f t="shared" si="3"/>
        <v>0</v>
      </c>
      <c r="AB63" s="324"/>
      <c r="AC63" s="330">
        <f>+'Plan de Accion 2018'!BH44</f>
        <v>0</v>
      </c>
      <c r="AD63" s="331">
        <f>+'Plan de Accion 2018'!BS44</f>
        <v>0</v>
      </c>
      <c r="AE63" s="870">
        <f t="shared" si="4"/>
        <v>0</v>
      </c>
      <c r="AF63" s="777">
        <f>+'Plan de Accion 2018'!BJ44</f>
        <v>0</v>
      </c>
      <c r="AG63" s="878">
        <f t="shared" si="5"/>
        <v>0</v>
      </c>
      <c r="AH63" s="351"/>
      <c r="AJ63" s="427"/>
      <c r="AK63" s="355"/>
      <c r="AL63" s="321"/>
      <c r="AM63" s="427"/>
      <c r="AN63" s="355"/>
      <c r="AO63" s="321"/>
      <c r="AP63" s="427"/>
      <c r="AQ63" s="355"/>
      <c r="AR63" s="321"/>
      <c r="AS63" s="427"/>
      <c r="AT63" s="355"/>
      <c r="AU63" s="328"/>
      <c r="AV63" s="350"/>
      <c r="AX63" s="427"/>
      <c r="AY63" s="355"/>
      <c r="AZ63" s="321"/>
      <c r="BA63" s="427"/>
      <c r="BB63" s="355"/>
      <c r="BC63" s="321"/>
      <c r="BD63" s="427"/>
      <c r="BE63" s="355"/>
      <c r="BF63" s="321"/>
      <c r="BG63" s="427"/>
      <c r="BH63" s="355"/>
      <c r="BI63" s="328"/>
      <c r="BJ63" s="350"/>
      <c r="BL63" s="427"/>
      <c r="BM63" s="355"/>
      <c r="BN63" s="321"/>
      <c r="BO63" s="427"/>
      <c r="BP63" s="355"/>
      <c r="BQ63" s="321"/>
      <c r="BR63" s="427"/>
      <c r="BS63" s="355"/>
      <c r="BT63" s="321"/>
      <c r="BU63" s="427"/>
      <c r="BV63" s="355"/>
      <c r="BW63" s="328"/>
      <c r="BX63" s="350"/>
      <c r="BZ63" s="427"/>
      <c r="CA63" s="355"/>
      <c r="CB63" s="321"/>
      <c r="CC63" s="427"/>
      <c r="CD63" s="355"/>
      <c r="CE63" s="321"/>
      <c r="CF63" s="427"/>
      <c r="CG63" s="355"/>
      <c r="CH63" s="321"/>
      <c r="CI63" s="427"/>
      <c r="CJ63" s="355"/>
      <c r="CK63" s="328"/>
      <c r="CL63" s="350"/>
    </row>
    <row r="64" spans="2:90" ht="15.75" thickBot="1" x14ac:dyDescent="0.25">
      <c r="B64" s="1177"/>
      <c r="C64" s="1141"/>
      <c r="D64" s="337" t="str">
        <f>+'Plan de Accion 2018'!F42</f>
        <v>Estados Financieros</v>
      </c>
      <c r="E64" s="1099"/>
      <c r="F64" s="1188"/>
      <c r="G64" s="321"/>
      <c r="H64" s="601">
        <f>+'Plan de Accion 2018'!AD42</f>
        <v>0.93962306143568719</v>
      </c>
      <c r="I64" s="928">
        <f>+'Plan de Accion 2018'!BM42</f>
        <v>0.93962306143568719</v>
      </c>
      <c r="J64" s="928">
        <f t="shared" si="6"/>
        <v>0.93962306143568719</v>
      </c>
      <c r="K64" s="928">
        <f>+'Plan de Accion 2018'!AF42</f>
        <v>0.2349057653589218</v>
      </c>
      <c r="L64" s="928">
        <f t="shared" si="7"/>
        <v>0.2349057653589218</v>
      </c>
      <c r="M64" s="930">
        <f t="shared" si="8"/>
        <v>0.2349057653589218</v>
      </c>
      <c r="N64" s="883"/>
      <c r="O64" s="340">
        <f>+'Plan de Accion 2018'!AN42</f>
        <v>1</v>
      </c>
      <c r="P64" s="890">
        <f>+'Plan de Accion 2018'!BO42</f>
        <v>1</v>
      </c>
      <c r="Q64" s="872">
        <f t="shared" si="0"/>
        <v>1</v>
      </c>
      <c r="R64" s="892">
        <f>+'Plan de Accion 2018'!AP42</f>
        <v>0.48490576535892177</v>
      </c>
      <c r="S64" s="891">
        <f t="shared" si="9"/>
        <v>0.48490576535892177</v>
      </c>
      <c r="T64" s="878">
        <f t="shared" si="1"/>
        <v>0.48490576535892177</v>
      </c>
      <c r="U64" s="324"/>
      <c r="V64" s="340">
        <f>+'Plan de Accion 2018'!AX42</f>
        <v>0</v>
      </c>
      <c r="W64" s="890">
        <f>+'Plan de Accion 2018'!BQ42</f>
        <v>0</v>
      </c>
      <c r="X64" s="870">
        <f t="shared" si="2"/>
        <v>0</v>
      </c>
      <c r="Y64" s="890">
        <f>+'Plan de Accion 2018'!AZ42</f>
        <v>0.48490576535892177</v>
      </c>
      <c r="Z64" s="892">
        <f t="shared" si="11"/>
        <v>0.48490576535892177</v>
      </c>
      <c r="AA64" s="878">
        <f t="shared" si="3"/>
        <v>0.48490576535892177</v>
      </c>
      <c r="AB64" s="324"/>
      <c r="AC64" s="340">
        <f>+'Plan de Accion 2018'!BH42</f>
        <v>0</v>
      </c>
      <c r="AD64" s="341">
        <f>+'Plan de Accion 2018'!BS42</f>
        <v>0</v>
      </c>
      <c r="AE64" s="870">
        <f t="shared" si="4"/>
        <v>0</v>
      </c>
      <c r="AF64" s="885">
        <f>+'Plan de Accion 2018'!BJ42</f>
        <v>0.48490576535892177</v>
      </c>
      <c r="AG64" s="878">
        <f t="shared" si="5"/>
        <v>0.48490576535892177</v>
      </c>
      <c r="AH64" s="351"/>
      <c r="AJ64" s="354"/>
      <c r="AK64" s="355"/>
      <c r="AL64" s="321"/>
      <c r="AM64" s="354"/>
      <c r="AN64" s="355"/>
      <c r="AO64" s="321"/>
      <c r="AP64" s="354"/>
      <c r="AQ64" s="355"/>
      <c r="AR64" s="321"/>
      <c r="AS64" s="354"/>
      <c r="AT64" s="355"/>
      <c r="AU64" s="328"/>
      <c r="AV64" s="350"/>
      <c r="AX64" s="354"/>
      <c r="AY64" s="355"/>
      <c r="AZ64" s="321"/>
      <c r="BA64" s="354"/>
      <c r="BB64" s="355"/>
      <c r="BC64" s="321"/>
      <c r="BD64" s="354"/>
      <c r="BE64" s="355"/>
      <c r="BF64" s="321"/>
      <c r="BG64" s="354"/>
      <c r="BH64" s="355"/>
      <c r="BI64" s="328"/>
      <c r="BJ64" s="350"/>
      <c r="BL64" s="354"/>
      <c r="BM64" s="355"/>
      <c r="BN64" s="321"/>
      <c r="BO64" s="354"/>
      <c r="BP64" s="355"/>
      <c r="BQ64" s="321"/>
      <c r="BR64" s="354"/>
      <c r="BS64" s="355"/>
      <c r="BT64" s="321"/>
      <c r="BU64" s="354"/>
      <c r="BV64" s="355"/>
      <c r="BW64" s="328"/>
      <c r="BX64" s="350"/>
      <c r="BZ64" s="354"/>
      <c r="CA64" s="355"/>
      <c r="CB64" s="321"/>
      <c r="CC64" s="354"/>
      <c r="CD64" s="355"/>
      <c r="CE64" s="321"/>
      <c r="CF64" s="354"/>
      <c r="CG64" s="355"/>
      <c r="CH64" s="321"/>
      <c r="CI64" s="354"/>
      <c r="CJ64" s="355"/>
      <c r="CK64" s="328"/>
      <c r="CL64" s="350"/>
    </row>
    <row r="65" spans="2:90" ht="20.25" thickBot="1" x14ac:dyDescent="0.3">
      <c r="B65" s="1178"/>
      <c r="C65" s="1142" t="s">
        <v>798</v>
      </c>
      <c r="D65" s="1143"/>
      <c r="E65" s="1143"/>
      <c r="F65" s="1144"/>
      <c r="G65" s="357"/>
      <c r="H65" s="358" t="s">
        <v>792</v>
      </c>
      <c r="I65" s="344">
        <f>SUM(I38:I64)/COUNT(I38:I64)</f>
        <v>1.0736742293367461</v>
      </c>
      <c r="J65" s="344">
        <f t="shared" si="6"/>
        <v>1</v>
      </c>
      <c r="K65" s="344">
        <f>SUM(K38:K64)/COUNT(K38:K64)</f>
        <v>0.16499276155171957</v>
      </c>
      <c r="L65" s="344">
        <f>SUM(L38:L64)/COUNT(L38:L64)</f>
        <v>0.15767237116009197</v>
      </c>
      <c r="M65" s="346">
        <f>SUM(M38:M64)/COUNT(M38:M64)</f>
        <v>0.15767237116009197</v>
      </c>
      <c r="N65" s="1405"/>
      <c r="O65" s="358" t="s">
        <v>792</v>
      </c>
      <c r="P65" s="876">
        <f>SUM(P38:P64)/COUNT(P38:P64)</f>
        <v>0.70535617004604889</v>
      </c>
      <c r="Q65" s="876">
        <f>SUM(Q38:Q64)/COUNT(Q38:Q64)</f>
        <v>0.66293094209866599</v>
      </c>
      <c r="R65" s="880">
        <f>SUM(R38:R64)/COUNT(R38:R64)</f>
        <v>0.35077061760713035</v>
      </c>
      <c r="S65" s="918">
        <f>SUM(S38:S64)/COUNT(S38:S64)</f>
        <v>0.32417629177162116</v>
      </c>
      <c r="T65" s="888">
        <f>SUM(T38:T64)/COUNT(T38:T64)</f>
        <v>0.32417629177162116</v>
      </c>
      <c r="U65" s="359"/>
      <c r="V65" s="358" t="s">
        <v>792</v>
      </c>
      <c r="W65" s="344">
        <f>SUM(W38:W64)/COUNT(W38:W64)</f>
        <v>0</v>
      </c>
      <c r="X65" s="344">
        <f>SUM(X38:X64)/COUNT(X38:X64)</f>
        <v>0</v>
      </c>
      <c r="Y65" s="876">
        <f>SUM(Y38:Y64)/COUNT(Y38:Y64)</f>
        <v>0.35426267199850725</v>
      </c>
      <c r="Z65" s="344">
        <f>SUM(Z38:Z64)/COUNT(Z38:Z64)</f>
        <v>0.35426267199850725</v>
      </c>
      <c r="AA65" s="346">
        <f>SUM(AA38:AA64)/COUNT(AA38:AA64)</f>
        <v>0.35426267199850725</v>
      </c>
      <c r="AB65" s="359"/>
      <c r="AC65" s="358" t="s">
        <v>792</v>
      </c>
      <c r="AD65" s="344">
        <f>SUM(AD38:AD64)/COUNT(AD38:AD64)</f>
        <v>0</v>
      </c>
      <c r="AE65" s="344">
        <f>SUM(AE38:AE64)/COUNT(AE38:AE64)</f>
        <v>0</v>
      </c>
      <c r="AF65" s="876">
        <f>SUM(AF38:AF64)/COUNT(AF38:AF64)</f>
        <v>0.35077061760713035</v>
      </c>
      <c r="AG65" s="346">
        <f>SUM(AG38:AG64)/COUNT(AG38:AG64)</f>
        <v>0.35077061760713035</v>
      </c>
      <c r="AH65" s="351"/>
      <c r="AJ65" s="354"/>
      <c r="AK65" s="355"/>
      <c r="AL65" s="321"/>
      <c r="AM65" s="354"/>
      <c r="AN65" s="355"/>
      <c r="AO65" s="321"/>
      <c r="AP65" s="354"/>
      <c r="AQ65" s="355"/>
      <c r="AR65" s="321"/>
      <c r="AS65" s="354"/>
      <c r="AT65" s="355"/>
      <c r="AU65" s="328"/>
      <c r="AV65" s="350"/>
      <c r="AX65" s="354"/>
      <c r="AY65" s="355"/>
      <c r="AZ65" s="321"/>
      <c r="BA65" s="354"/>
      <c r="BB65" s="355"/>
      <c r="BC65" s="321"/>
      <c r="BD65" s="354"/>
      <c r="BE65" s="355"/>
      <c r="BF65" s="321"/>
      <c r="BG65" s="354"/>
      <c r="BH65" s="355"/>
      <c r="BI65" s="328"/>
      <c r="BJ65" s="350"/>
      <c r="BL65" s="354"/>
      <c r="BM65" s="355"/>
      <c r="BN65" s="321"/>
      <c r="BO65" s="354"/>
      <c r="BP65" s="355"/>
      <c r="BQ65" s="321"/>
      <c r="BR65" s="354"/>
      <c r="BS65" s="355"/>
      <c r="BT65" s="321"/>
      <c r="BU65" s="354"/>
      <c r="BV65" s="355"/>
      <c r="BW65" s="328"/>
      <c r="BX65" s="350"/>
      <c r="BZ65" s="354"/>
      <c r="CA65" s="355"/>
      <c r="CB65" s="321"/>
      <c r="CC65" s="354"/>
      <c r="CD65" s="355"/>
      <c r="CE65" s="321"/>
      <c r="CF65" s="354"/>
      <c r="CG65" s="355"/>
      <c r="CH65" s="321"/>
      <c r="CI65" s="354"/>
      <c r="CJ65" s="355"/>
      <c r="CK65" s="328"/>
      <c r="CL65" s="350"/>
    </row>
    <row r="66" spans="2:90" ht="29.25" thickBot="1" x14ac:dyDescent="0.3">
      <c r="B66" s="1177"/>
      <c r="C66" s="1171" t="s">
        <v>147</v>
      </c>
      <c r="D66" s="360" t="str">
        <f>+'Plan de Accion 2018'!F80</f>
        <v>Adquisición de infraestructura tecnológica</v>
      </c>
      <c r="E66" s="1100" t="str">
        <f>+'Plan de Accion 2018'!B80</f>
        <v>Dirección de Gestión de Tecnología de la Información y la Comunicación</v>
      </c>
      <c r="F66" s="361" t="str">
        <f>+'Plan de Accion 2018'!R80</f>
        <v>(Valor pagado / (Valor programado-penalizaciones))</v>
      </c>
      <c r="G66" s="335"/>
      <c r="H66" s="322">
        <f>+'Plan de Accion 2018'!AA80</f>
        <v>9.7743684003216744E-2</v>
      </c>
      <c r="I66" s="929">
        <f>+'Plan de Accion 2018'!BM80</f>
        <v>0.75187449233243642</v>
      </c>
      <c r="J66" s="929">
        <f t="shared" si="6"/>
        <v>0.75187449233243642</v>
      </c>
      <c r="K66" s="929">
        <f>+'Plan de Accion 2018'!AF80</f>
        <v>0.12396910828204476</v>
      </c>
      <c r="L66" s="929">
        <f t="shared" si="7"/>
        <v>0.12396910828204476</v>
      </c>
      <c r="M66" s="931">
        <f t="shared" si="8"/>
        <v>0.12396910828204476</v>
      </c>
      <c r="N66" s="887"/>
      <c r="O66" s="322">
        <f>+'Plan de Accion 2018'!AK80</f>
        <v>0.25583964659668107</v>
      </c>
      <c r="P66" s="892">
        <f>+'Plan de Accion 2018'!BO80</f>
        <v>1.2102159252444706</v>
      </c>
      <c r="Q66" s="870">
        <f t="shared" si="0"/>
        <v>1</v>
      </c>
      <c r="R66" s="879">
        <f>+'Plan de Accion 2018'!AP80</f>
        <v>0.37980875487872584</v>
      </c>
      <c r="S66" s="892">
        <f t="shared" si="9"/>
        <v>0.37980875487872584</v>
      </c>
      <c r="T66" s="878">
        <f t="shared" si="1"/>
        <v>0.37980875487872584</v>
      </c>
      <c r="U66" s="883">
        <v>1</v>
      </c>
      <c r="V66" s="322">
        <f>+'Plan de Accion 2018'!AU80</f>
        <v>0</v>
      </c>
      <c r="W66" s="892">
        <f>+'Plan de Accion 2018'!BQ80</f>
        <v>0</v>
      </c>
      <c r="X66" s="870">
        <f t="shared" si="2"/>
        <v>0</v>
      </c>
      <c r="Y66" s="892">
        <f>+'Plan de Accion 2018'!AZ80</f>
        <v>0.37980875487872584</v>
      </c>
      <c r="Z66" s="892">
        <f t="shared" ref="Z66:Z76" si="12">IF(Y66&gt;75%,75%,Y66)</f>
        <v>0.37980875487872584</v>
      </c>
      <c r="AA66" s="878">
        <f t="shared" si="3"/>
        <v>0.37980875487872584</v>
      </c>
      <c r="AB66" s="336"/>
      <c r="AC66" s="322">
        <f>+'Plan de Accion 2018'!BE80</f>
        <v>0</v>
      </c>
      <c r="AD66" s="323">
        <f>+'Plan de Accion 2018'!BS80</f>
        <v>0</v>
      </c>
      <c r="AE66" s="870">
        <f t="shared" si="4"/>
        <v>0</v>
      </c>
      <c r="AF66" s="886">
        <f>+'Plan de Accion 2018'!BJ80</f>
        <v>0.37980875487872584</v>
      </c>
      <c r="AG66" s="878">
        <f t="shared" si="5"/>
        <v>0.37980875487872584</v>
      </c>
      <c r="AH66" s="362"/>
      <c r="AI66" s="363"/>
      <c r="AJ66" s="364"/>
      <c r="AK66" s="365"/>
      <c r="AL66" s="366"/>
      <c r="AM66" s="364"/>
      <c r="AN66" s="365"/>
      <c r="AO66" s="366"/>
      <c r="AP66" s="364"/>
      <c r="AQ66" s="365"/>
      <c r="AR66" s="366"/>
      <c r="AS66" s="364"/>
      <c r="AT66" s="365"/>
      <c r="AU66" s="367"/>
      <c r="AV66" s="368"/>
      <c r="AW66" s="367"/>
      <c r="AX66" s="364"/>
      <c r="AY66" s="365"/>
      <c r="AZ66" s="366"/>
      <c r="BA66" s="364"/>
      <c r="BB66" s="365"/>
      <c r="BC66" s="366"/>
      <c r="BD66" s="364"/>
      <c r="BE66" s="365"/>
      <c r="BF66" s="366"/>
      <c r="BG66" s="364"/>
      <c r="BH66" s="365"/>
      <c r="BI66" s="367"/>
      <c r="BJ66" s="368"/>
      <c r="BL66" s="364"/>
      <c r="BM66" s="365"/>
      <c r="BN66" s="366"/>
      <c r="BO66" s="364"/>
      <c r="BP66" s="365"/>
      <c r="BQ66" s="366"/>
      <c r="BR66" s="364"/>
      <c r="BS66" s="365"/>
      <c r="BT66" s="366"/>
      <c r="BU66" s="364"/>
      <c r="BV66" s="365"/>
      <c r="BW66" s="367"/>
      <c r="BX66" s="368"/>
      <c r="BZ66" s="364"/>
      <c r="CA66" s="365"/>
      <c r="CB66" s="366"/>
      <c r="CC66" s="364"/>
      <c r="CD66" s="365"/>
      <c r="CE66" s="366"/>
      <c r="CF66" s="364"/>
      <c r="CG66" s="365"/>
      <c r="CH66" s="366"/>
      <c r="CI66" s="364"/>
      <c r="CJ66" s="365"/>
      <c r="CK66" s="367"/>
      <c r="CL66" s="368"/>
    </row>
    <row r="67" spans="2:90" ht="29.25" thickBot="1" x14ac:dyDescent="0.3">
      <c r="B67" s="1177"/>
      <c r="C67" s="1172"/>
      <c r="D67" s="332" t="str">
        <f>+'Plan de Accion 2018'!F81</f>
        <v>Renovación de licencias</v>
      </c>
      <c r="E67" s="1158"/>
      <c r="F67" s="356" t="str">
        <f>+'Plan de Accion 2018'!R81</f>
        <v>Valor pagado / Valor programado</v>
      </c>
      <c r="G67" s="335"/>
      <c r="H67" s="776">
        <f>+'Plan de Accion 2018'!AA81</f>
        <v>0</v>
      </c>
      <c r="I67" s="777" t="str">
        <f>+'Plan de Accion 2018'!BM81</f>
        <v>No Prog ni Ejec</v>
      </c>
      <c r="J67" s="777" t="s">
        <v>792</v>
      </c>
      <c r="K67" s="777">
        <f>+'Plan de Accion 2018'!AF81</f>
        <v>0</v>
      </c>
      <c r="L67" s="777">
        <f t="shared" si="7"/>
        <v>0</v>
      </c>
      <c r="M67" s="1391" t="s">
        <v>792</v>
      </c>
      <c r="N67" s="887"/>
      <c r="O67" s="776">
        <f>+'Plan de Accion 2018'!AK81</f>
        <v>0.28218769214354517</v>
      </c>
      <c r="P67" s="777">
        <f>+'Plan de Accion 2018'!BO81</f>
        <v>0.86657676407248019</v>
      </c>
      <c r="Q67" s="870">
        <f t="shared" si="0"/>
        <v>0.86657676407248019</v>
      </c>
      <c r="R67" s="892">
        <f>+'Plan de Accion 2018'!AP81</f>
        <v>0.28218769214354517</v>
      </c>
      <c r="S67" s="892">
        <f t="shared" si="9"/>
        <v>0.28218769214354517</v>
      </c>
      <c r="T67" s="878">
        <f t="shared" si="1"/>
        <v>0.28218769214354517</v>
      </c>
      <c r="U67" s="336"/>
      <c r="V67" s="776">
        <f>+'Plan de Accion 2018'!AU81</f>
        <v>0</v>
      </c>
      <c r="W67" s="777">
        <f>+'Plan de Accion 2018'!BQ81</f>
        <v>0</v>
      </c>
      <c r="X67" s="870">
        <f t="shared" si="2"/>
        <v>0</v>
      </c>
      <c r="Y67" s="777">
        <f>+'Plan de Accion 2018'!AZ81</f>
        <v>0.28218769214354517</v>
      </c>
      <c r="Z67" s="892">
        <f t="shared" si="12"/>
        <v>0.28218769214354517</v>
      </c>
      <c r="AA67" s="878">
        <f t="shared" si="3"/>
        <v>0.28218769214354517</v>
      </c>
      <c r="AB67" s="336"/>
      <c r="AC67" s="330">
        <f>+'Plan de Accion 2018'!BE81</f>
        <v>0</v>
      </c>
      <c r="AD67" s="331">
        <f>+'Plan de Accion 2018'!BS81</f>
        <v>0</v>
      </c>
      <c r="AE67" s="870">
        <f t="shared" si="4"/>
        <v>0</v>
      </c>
      <c r="AF67" s="777">
        <f>+'Plan de Accion 2018'!BJ81</f>
        <v>0.28218769214354517</v>
      </c>
      <c r="AG67" s="878">
        <f t="shared" si="5"/>
        <v>0.28218769214354517</v>
      </c>
      <c r="AH67" s="362"/>
      <c r="AI67" s="363"/>
      <c r="AJ67" s="364"/>
      <c r="AK67" s="365"/>
      <c r="AL67" s="366"/>
      <c r="AM67" s="364"/>
      <c r="AN67" s="365"/>
      <c r="AO67" s="366"/>
      <c r="AP67" s="364"/>
      <c r="AQ67" s="365"/>
      <c r="AR67" s="366"/>
      <c r="AS67" s="364"/>
      <c r="AT67" s="365"/>
      <c r="AU67" s="367"/>
      <c r="AV67" s="368"/>
      <c r="AW67" s="367"/>
      <c r="AX67" s="364"/>
      <c r="AY67" s="365"/>
      <c r="AZ67" s="366"/>
      <c r="BA67" s="364"/>
      <c r="BB67" s="365"/>
      <c r="BC67" s="366"/>
      <c r="BD67" s="364"/>
      <c r="BE67" s="365"/>
      <c r="BF67" s="366"/>
      <c r="BG67" s="364"/>
      <c r="BH67" s="365"/>
      <c r="BI67" s="367"/>
      <c r="BJ67" s="368"/>
      <c r="BL67" s="364"/>
      <c r="BM67" s="365"/>
      <c r="BN67" s="366"/>
      <c r="BO67" s="364"/>
      <c r="BP67" s="365"/>
      <c r="BQ67" s="366"/>
      <c r="BR67" s="364"/>
      <c r="BS67" s="365"/>
      <c r="BT67" s="366"/>
      <c r="BU67" s="364"/>
      <c r="BV67" s="365"/>
      <c r="BW67" s="367"/>
      <c r="BX67" s="368"/>
      <c r="BZ67" s="364"/>
      <c r="CA67" s="365"/>
      <c r="CB67" s="366"/>
      <c r="CC67" s="364"/>
      <c r="CD67" s="365"/>
      <c r="CE67" s="366"/>
      <c r="CF67" s="364"/>
      <c r="CG67" s="365"/>
      <c r="CH67" s="366"/>
      <c r="CI67" s="364"/>
      <c r="CJ67" s="365"/>
      <c r="CK67" s="367"/>
      <c r="CL67" s="368"/>
    </row>
    <row r="68" spans="2:90" ht="43.5" thickBot="1" x14ac:dyDescent="0.3">
      <c r="B68" s="1177"/>
      <c r="C68" s="1172"/>
      <c r="D68" s="332" t="str">
        <f>+'Plan de Accion 2018'!F82</f>
        <v>Adquisición de bienes y/o servicios para la seguridad de la información</v>
      </c>
      <c r="E68" s="1158"/>
      <c r="F68" s="356" t="str">
        <f>+'Plan de Accion 2018'!R82</f>
        <v>(Valor pagado / (Valor programado-penalizaciones))</v>
      </c>
      <c r="G68" s="335"/>
      <c r="H68" s="776">
        <f>+'Plan de Accion 2018'!AA82</f>
        <v>0</v>
      </c>
      <c r="I68" s="777" t="str">
        <f>+'Plan de Accion 2018'!BM82</f>
        <v>No Prog ni Ejec</v>
      </c>
      <c r="J68" s="777" t="s">
        <v>792</v>
      </c>
      <c r="K68" s="777">
        <f>+'Plan de Accion 2018'!AF82</f>
        <v>0</v>
      </c>
      <c r="L68" s="777">
        <f t="shared" si="7"/>
        <v>0</v>
      </c>
      <c r="M68" s="1391" t="s">
        <v>792</v>
      </c>
      <c r="N68" s="887"/>
      <c r="O68" s="776">
        <f>+'Plan de Accion 2018'!AK82</f>
        <v>0</v>
      </c>
      <c r="P68" s="777" t="str">
        <f>+'Plan de Accion 2018'!BO82</f>
        <v>No Prog ni Ejec</v>
      </c>
      <c r="Q68" s="870" t="s">
        <v>792</v>
      </c>
      <c r="R68" s="892">
        <f>+'Plan de Accion 2018'!AP82</f>
        <v>0</v>
      </c>
      <c r="S68" s="892">
        <f t="shared" si="9"/>
        <v>0</v>
      </c>
      <c r="T68" s="878" t="s">
        <v>792</v>
      </c>
      <c r="U68" s="336"/>
      <c r="V68" s="776">
        <f>+'Plan de Accion 2018'!AU82</f>
        <v>0</v>
      </c>
      <c r="W68" s="777">
        <f>+'Plan de Accion 2018'!BQ82</f>
        <v>0</v>
      </c>
      <c r="X68" s="870">
        <f t="shared" si="2"/>
        <v>0</v>
      </c>
      <c r="Y68" s="777">
        <f>+'Plan de Accion 2018'!AZ82</f>
        <v>0</v>
      </c>
      <c r="Z68" s="892">
        <f t="shared" si="12"/>
        <v>0</v>
      </c>
      <c r="AA68" s="878">
        <f t="shared" si="3"/>
        <v>0</v>
      </c>
      <c r="AB68" s="336"/>
      <c r="AC68" s="330">
        <f>+'Plan de Accion 2018'!BE82</f>
        <v>0</v>
      </c>
      <c r="AD68" s="331">
        <f>+'Plan de Accion 2018'!BS82</f>
        <v>0</v>
      </c>
      <c r="AE68" s="870">
        <f t="shared" si="4"/>
        <v>0</v>
      </c>
      <c r="AF68" s="777">
        <f>+'Plan de Accion 2018'!BJ82</f>
        <v>0</v>
      </c>
      <c r="AG68" s="878">
        <f t="shared" si="5"/>
        <v>0</v>
      </c>
      <c r="AH68" s="362"/>
      <c r="AI68" s="363"/>
      <c r="AJ68" s="364"/>
      <c r="AK68" s="365"/>
      <c r="AL68" s="366"/>
      <c r="AM68" s="364"/>
      <c r="AN68" s="365"/>
      <c r="AO68" s="366"/>
      <c r="AP68" s="364"/>
      <c r="AQ68" s="365"/>
      <c r="AR68" s="366"/>
      <c r="AS68" s="364"/>
      <c r="AT68" s="365"/>
      <c r="AU68" s="367"/>
      <c r="AV68" s="368"/>
      <c r="AW68" s="367"/>
      <c r="AX68" s="364"/>
      <c r="AY68" s="365"/>
      <c r="AZ68" s="366"/>
      <c r="BA68" s="364"/>
      <c r="BB68" s="365"/>
      <c r="BC68" s="366"/>
      <c r="BD68" s="364"/>
      <c r="BE68" s="365"/>
      <c r="BF68" s="366"/>
      <c r="BG68" s="364"/>
      <c r="BH68" s="365"/>
      <c r="BI68" s="367"/>
      <c r="BJ68" s="368"/>
      <c r="BL68" s="364"/>
      <c r="BM68" s="365"/>
      <c r="BN68" s="366"/>
      <c r="BO68" s="364"/>
      <c r="BP68" s="365"/>
      <c r="BQ68" s="366"/>
      <c r="BR68" s="364"/>
      <c r="BS68" s="365"/>
      <c r="BT68" s="366"/>
      <c r="BU68" s="364"/>
      <c r="BV68" s="365"/>
      <c r="BW68" s="367"/>
      <c r="BX68" s="368"/>
      <c r="BZ68" s="364"/>
      <c r="CA68" s="365"/>
      <c r="CB68" s="366"/>
      <c r="CC68" s="364"/>
      <c r="CD68" s="365"/>
      <c r="CE68" s="366"/>
      <c r="CF68" s="364"/>
      <c r="CG68" s="365"/>
      <c r="CH68" s="366"/>
      <c r="CI68" s="364"/>
      <c r="CJ68" s="365"/>
      <c r="CK68" s="367"/>
      <c r="CL68" s="368"/>
    </row>
    <row r="69" spans="2:90" ht="20.25" thickBot="1" x14ac:dyDescent="0.3">
      <c r="B69" s="1177"/>
      <c r="C69" s="1172"/>
      <c r="D69" s="332" t="str">
        <f>+'Plan de Accion 2018'!F85</f>
        <v>Brindar Soporte a usuario interno</v>
      </c>
      <c r="E69" s="1158"/>
      <c r="F69" s="1184" t="str">
        <f>+'Plan de Accion 2018'!R85</f>
        <v>Valor pagado / Valor programado</v>
      </c>
      <c r="G69" s="335"/>
      <c r="H69" s="776">
        <f>+'Plan de Accion 2018'!AA85</f>
        <v>0.22222222222222221</v>
      </c>
      <c r="I69" s="777">
        <f>+'Plan de Accion 2018'!BM85</f>
        <v>0.88888888888888884</v>
      </c>
      <c r="J69" s="777">
        <f t="shared" si="6"/>
        <v>0.88888888888888884</v>
      </c>
      <c r="K69" s="777">
        <f>+'Plan de Accion 2018'!AF85</f>
        <v>0.22222222222222221</v>
      </c>
      <c r="L69" s="777">
        <f t="shared" si="7"/>
        <v>0.22222222222222221</v>
      </c>
      <c r="M69" s="1391">
        <f t="shared" si="8"/>
        <v>0.22222222222222221</v>
      </c>
      <c r="N69" s="887"/>
      <c r="O69" s="776">
        <f>+'Plan de Accion 2018'!AK85</f>
        <v>0.25</v>
      </c>
      <c r="P69" s="777">
        <f>+'Plan de Accion 2018'!BO85</f>
        <v>1</v>
      </c>
      <c r="Q69" s="870">
        <f t="shared" si="0"/>
        <v>1</v>
      </c>
      <c r="R69" s="892">
        <f>+'Plan de Accion 2018'!AP85</f>
        <v>0.47222222222222221</v>
      </c>
      <c r="S69" s="892">
        <f t="shared" si="9"/>
        <v>0.47222222222222221</v>
      </c>
      <c r="T69" s="878">
        <f t="shared" si="1"/>
        <v>0.47222222222222221</v>
      </c>
      <c r="U69" s="336"/>
      <c r="V69" s="776">
        <f>+'Plan de Accion 2018'!AU85</f>
        <v>0</v>
      </c>
      <c r="W69" s="777">
        <f>+'Plan de Accion 2018'!BQ85</f>
        <v>0</v>
      </c>
      <c r="X69" s="870">
        <f t="shared" si="2"/>
        <v>0</v>
      </c>
      <c r="Y69" s="777">
        <f>+'Plan de Accion 2018'!AZ85</f>
        <v>0.47222222222222221</v>
      </c>
      <c r="Z69" s="892">
        <f t="shared" si="12"/>
        <v>0.47222222222222221</v>
      </c>
      <c r="AA69" s="878">
        <f t="shared" si="3"/>
        <v>0.47222222222222221</v>
      </c>
      <c r="AB69" s="336"/>
      <c r="AC69" s="330">
        <f>+'Plan de Accion 2018'!BE85</f>
        <v>0</v>
      </c>
      <c r="AD69" s="331">
        <f>+'Plan de Accion 2018'!BS85</f>
        <v>0</v>
      </c>
      <c r="AE69" s="870">
        <f t="shared" si="4"/>
        <v>0</v>
      </c>
      <c r="AF69" s="777">
        <f>+'Plan de Accion 2018'!BJ85</f>
        <v>0.47222222222222221</v>
      </c>
      <c r="AG69" s="878">
        <f t="shared" si="5"/>
        <v>0.47222222222222221</v>
      </c>
      <c r="AH69" s="362"/>
      <c r="AI69" s="363"/>
      <c r="AJ69" s="364"/>
      <c r="AK69" s="365"/>
      <c r="AL69" s="366"/>
      <c r="AM69" s="364"/>
      <c r="AN69" s="365"/>
      <c r="AO69" s="366"/>
      <c r="AP69" s="364"/>
      <c r="AQ69" s="365"/>
      <c r="AR69" s="366"/>
      <c r="AS69" s="364"/>
      <c r="AT69" s="365"/>
      <c r="AU69" s="367"/>
      <c r="AV69" s="368"/>
      <c r="AW69" s="367"/>
      <c r="AX69" s="364"/>
      <c r="AY69" s="365"/>
      <c r="AZ69" s="366"/>
      <c r="BA69" s="364"/>
      <c r="BB69" s="365"/>
      <c r="BC69" s="366"/>
      <c r="BD69" s="364"/>
      <c r="BE69" s="365"/>
      <c r="BF69" s="366"/>
      <c r="BG69" s="364"/>
      <c r="BH69" s="365"/>
      <c r="BI69" s="367"/>
      <c r="BJ69" s="368"/>
      <c r="BL69" s="364"/>
      <c r="BM69" s="365"/>
      <c r="BN69" s="366"/>
      <c r="BO69" s="364"/>
      <c r="BP69" s="365"/>
      <c r="BQ69" s="366"/>
      <c r="BR69" s="364"/>
      <c r="BS69" s="365"/>
      <c r="BT69" s="366"/>
      <c r="BU69" s="364"/>
      <c r="BV69" s="365"/>
      <c r="BW69" s="367"/>
      <c r="BX69" s="368"/>
      <c r="BZ69" s="364"/>
      <c r="CA69" s="365"/>
      <c r="CB69" s="366"/>
      <c r="CC69" s="364"/>
      <c r="CD69" s="365"/>
      <c r="CE69" s="366"/>
      <c r="CF69" s="364"/>
      <c r="CG69" s="365"/>
      <c r="CH69" s="366"/>
      <c r="CI69" s="364"/>
      <c r="CJ69" s="365"/>
      <c r="CK69" s="367"/>
      <c r="CL69" s="368"/>
    </row>
    <row r="70" spans="2:90" ht="20.25" thickBot="1" x14ac:dyDescent="0.3">
      <c r="B70" s="1177"/>
      <c r="C70" s="1172"/>
      <c r="D70" s="332" t="str">
        <f>+'Plan de Accion 2018'!F86</f>
        <v>Brindar Soporte al procesos BDUA</v>
      </c>
      <c r="E70" s="1158"/>
      <c r="F70" s="1185"/>
      <c r="G70" s="335"/>
      <c r="H70" s="776">
        <f>+'Plan de Accion 2018'!AA86</f>
        <v>0.22222222222222221</v>
      </c>
      <c r="I70" s="777">
        <f>+'Plan de Accion 2018'!BM86</f>
        <v>0.88888888888888884</v>
      </c>
      <c r="J70" s="777">
        <f t="shared" si="6"/>
        <v>0.88888888888888884</v>
      </c>
      <c r="K70" s="777">
        <f>+'Plan de Accion 2018'!AF86</f>
        <v>0.22222222222222221</v>
      </c>
      <c r="L70" s="777">
        <f t="shared" si="7"/>
        <v>0.22222222222222221</v>
      </c>
      <c r="M70" s="1391">
        <f t="shared" si="8"/>
        <v>0.22222222222222221</v>
      </c>
      <c r="N70" s="887"/>
      <c r="O70" s="776">
        <f>+'Plan de Accion 2018'!AK86</f>
        <v>0.25</v>
      </c>
      <c r="P70" s="777">
        <f>+'Plan de Accion 2018'!BO86</f>
        <v>1</v>
      </c>
      <c r="Q70" s="870">
        <f t="shared" si="0"/>
        <v>1</v>
      </c>
      <c r="R70" s="892">
        <f>+'Plan de Accion 2018'!AP86</f>
        <v>0.47222222222222221</v>
      </c>
      <c r="S70" s="892">
        <f t="shared" si="9"/>
        <v>0.47222222222222221</v>
      </c>
      <c r="T70" s="878">
        <f t="shared" si="1"/>
        <v>0.47222222222222221</v>
      </c>
      <c r="U70" s="336"/>
      <c r="V70" s="776">
        <f>+'Plan de Accion 2018'!AU86</f>
        <v>0</v>
      </c>
      <c r="W70" s="777">
        <f>+'Plan de Accion 2018'!BQ86</f>
        <v>0</v>
      </c>
      <c r="X70" s="870">
        <f t="shared" si="2"/>
        <v>0</v>
      </c>
      <c r="Y70" s="777">
        <f>+'Plan de Accion 2018'!AZ86</f>
        <v>0.47222222222222221</v>
      </c>
      <c r="Z70" s="892">
        <f t="shared" si="12"/>
        <v>0.47222222222222221</v>
      </c>
      <c r="AA70" s="878">
        <f t="shared" si="3"/>
        <v>0.47222222222222221</v>
      </c>
      <c r="AB70" s="336"/>
      <c r="AC70" s="330">
        <f>+'Plan de Accion 2018'!BE86</f>
        <v>0</v>
      </c>
      <c r="AD70" s="331">
        <f>+'Plan de Accion 2018'!BS86</f>
        <v>0</v>
      </c>
      <c r="AE70" s="870">
        <f t="shared" si="4"/>
        <v>0</v>
      </c>
      <c r="AF70" s="777">
        <f>+'Plan de Accion 2018'!BJ86</f>
        <v>0.47222222222222221</v>
      </c>
      <c r="AG70" s="878">
        <f t="shared" si="5"/>
        <v>0.47222222222222221</v>
      </c>
      <c r="AH70" s="362"/>
      <c r="AI70" s="363"/>
      <c r="AJ70" s="364"/>
      <c r="AK70" s="365"/>
      <c r="AL70" s="366"/>
      <c r="AM70" s="364"/>
      <c r="AN70" s="365"/>
      <c r="AO70" s="366"/>
      <c r="AP70" s="364"/>
      <c r="AQ70" s="365"/>
      <c r="AR70" s="366"/>
      <c r="AS70" s="364"/>
      <c r="AT70" s="365"/>
      <c r="AU70" s="367"/>
      <c r="AV70" s="368"/>
      <c r="AW70" s="367"/>
      <c r="AX70" s="364"/>
      <c r="AY70" s="365"/>
      <c r="AZ70" s="366"/>
      <c r="BA70" s="364"/>
      <c r="BB70" s="365"/>
      <c r="BC70" s="366"/>
      <c r="BD70" s="364"/>
      <c r="BE70" s="365"/>
      <c r="BF70" s="366"/>
      <c r="BG70" s="364"/>
      <c r="BH70" s="365"/>
      <c r="BI70" s="367"/>
      <c r="BJ70" s="368"/>
      <c r="BL70" s="364"/>
      <c r="BM70" s="365"/>
      <c r="BN70" s="366"/>
      <c r="BO70" s="364"/>
      <c r="BP70" s="365"/>
      <c r="BQ70" s="366"/>
      <c r="BR70" s="364"/>
      <c r="BS70" s="365"/>
      <c r="BT70" s="366"/>
      <c r="BU70" s="364"/>
      <c r="BV70" s="365"/>
      <c r="BW70" s="367"/>
      <c r="BX70" s="368"/>
      <c r="BZ70" s="364"/>
      <c r="CA70" s="365"/>
      <c r="CB70" s="366"/>
      <c r="CC70" s="364"/>
      <c r="CD70" s="365"/>
      <c r="CE70" s="366"/>
      <c r="CF70" s="364"/>
      <c r="CG70" s="365"/>
      <c r="CH70" s="366"/>
      <c r="CI70" s="364"/>
      <c r="CJ70" s="365"/>
      <c r="CK70" s="367"/>
      <c r="CL70" s="368"/>
    </row>
    <row r="71" spans="2:90" ht="43.5" thickBot="1" x14ac:dyDescent="0.3">
      <c r="B71" s="1177"/>
      <c r="C71" s="1172"/>
      <c r="D71" s="332" t="str">
        <f>+'Plan de Accion 2018'!F87</f>
        <v>Brindar Soporte a los sistemas de información que respaldan los procesos misionales de ADRES</v>
      </c>
      <c r="E71" s="1158"/>
      <c r="F71" s="1186"/>
      <c r="G71" s="335"/>
      <c r="H71" s="776">
        <f>+'Plan de Accion 2018'!AA87</f>
        <v>4.3630629828138479E-2</v>
      </c>
      <c r="I71" s="777">
        <f>+'Plan de Accion 2018'!BM87</f>
        <v>0.17452251931255391</v>
      </c>
      <c r="J71" s="777">
        <f t="shared" si="6"/>
        <v>0.17452251931255391</v>
      </c>
      <c r="K71" s="777">
        <f>+'Plan de Accion 2018'!AF87</f>
        <v>4.8857634839933453E-2</v>
      </c>
      <c r="L71" s="777">
        <f t="shared" si="7"/>
        <v>4.8857634839933453E-2</v>
      </c>
      <c r="M71" s="1391">
        <f t="shared" si="8"/>
        <v>4.8857634839933453E-2</v>
      </c>
      <c r="N71" s="887"/>
      <c r="O71" s="776">
        <f>+'Plan de Accion 2018'!AK87</f>
        <v>7.3408315453146133E-2</v>
      </c>
      <c r="P71" s="777">
        <f>+'Plan de Accion 2018'!BO87</f>
        <v>0.30586798105477558</v>
      </c>
      <c r="Q71" s="870">
        <f t="shared" si="0"/>
        <v>0.30586798105477558</v>
      </c>
      <c r="R71" s="892">
        <f>+'Plan de Accion 2018'!AP87</f>
        <v>0.12226595029307959</v>
      </c>
      <c r="S71" s="892">
        <f t="shared" si="9"/>
        <v>0.12226595029307959</v>
      </c>
      <c r="T71" s="878">
        <f t="shared" si="1"/>
        <v>0.12226595029307959</v>
      </c>
      <c r="U71" s="336"/>
      <c r="V71" s="776">
        <f>+'Plan de Accion 2018'!AU87</f>
        <v>0</v>
      </c>
      <c r="W71" s="777">
        <f>+'Plan de Accion 2018'!BQ87</f>
        <v>0</v>
      </c>
      <c r="X71" s="870">
        <f t="shared" si="2"/>
        <v>0</v>
      </c>
      <c r="Y71" s="777">
        <f>+'Plan de Accion 2018'!AZ87</f>
        <v>0.12226595029307959</v>
      </c>
      <c r="Z71" s="892">
        <f t="shared" si="12"/>
        <v>0.12226595029307959</v>
      </c>
      <c r="AA71" s="878">
        <f t="shared" si="3"/>
        <v>0.12226595029307959</v>
      </c>
      <c r="AB71" s="336"/>
      <c r="AC71" s="330">
        <f>+'Plan de Accion 2018'!BE87</f>
        <v>0</v>
      </c>
      <c r="AD71" s="331">
        <f>+'Plan de Accion 2018'!BS87</f>
        <v>0</v>
      </c>
      <c r="AE71" s="870">
        <f t="shared" si="4"/>
        <v>0</v>
      </c>
      <c r="AF71" s="777">
        <f>+'Plan de Accion 2018'!BJ87</f>
        <v>0.12226595029307959</v>
      </c>
      <c r="AG71" s="878">
        <f t="shared" si="5"/>
        <v>0.12226595029307959</v>
      </c>
      <c r="AH71" s="362"/>
      <c r="AI71" s="363"/>
      <c r="AJ71" s="364"/>
      <c r="AK71" s="365"/>
      <c r="AL71" s="366"/>
      <c r="AM71" s="364"/>
      <c r="AN71" s="365"/>
      <c r="AO71" s="366"/>
      <c r="AP71" s="364"/>
      <c r="AQ71" s="365"/>
      <c r="AR71" s="366"/>
      <c r="AS71" s="364"/>
      <c r="AT71" s="365"/>
      <c r="AU71" s="367"/>
      <c r="AV71" s="368"/>
      <c r="AW71" s="367"/>
      <c r="AX71" s="364"/>
      <c r="AY71" s="365"/>
      <c r="AZ71" s="366"/>
      <c r="BA71" s="364"/>
      <c r="BB71" s="365"/>
      <c r="BC71" s="366"/>
      <c r="BD71" s="364"/>
      <c r="BE71" s="365"/>
      <c r="BF71" s="366"/>
      <c r="BG71" s="364"/>
      <c r="BH71" s="365"/>
      <c r="BI71" s="367"/>
      <c r="BJ71" s="368"/>
      <c r="BL71" s="364"/>
      <c r="BM71" s="365"/>
      <c r="BN71" s="366"/>
      <c r="BO71" s="364"/>
      <c r="BP71" s="365"/>
      <c r="BQ71" s="366"/>
      <c r="BR71" s="364"/>
      <c r="BS71" s="365"/>
      <c r="BT71" s="366"/>
      <c r="BU71" s="364"/>
      <c r="BV71" s="365"/>
      <c r="BW71" s="367"/>
      <c r="BX71" s="368"/>
      <c r="BZ71" s="364"/>
      <c r="CA71" s="365"/>
      <c r="CB71" s="366"/>
      <c r="CC71" s="364"/>
      <c r="CD71" s="365"/>
      <c r="CE71" s="366"/>
      <c r="CF71" s="364"/>
      <c r="CG71" s="365"/>
      <c r="CH71" s="366"/>
      <c r="CI71" s="364"/>
      <c r="CJ71" s="365"/>
      <c r="CK71" s="367"/>
      <c r="CL71" s="368"/>
    </row>
    <row r="72" spans="2:90" ht="29.25" thickBot="1" x14ac:dyDescent="0.3">
      <c r="B72" s="1177"/>
      <c r="C72" s="1172"/>
      <c r="D72" s="332" t="str">
        <f>+'Plan de Accion 2018'!F88</f>
        <v xml:space="preserve">Arrendamiento de Equipos de Computo </v>
      </c>
      <c r="E72" s="1158"/>
      <c r="F72" s="356" t="str">
        <f>+'Plan de Accion 2018'!R88</f>
        <v>(Valor pagado / (Valor programado-penalizaciones))</v>
      </c>
      <c r="G72" s="335"/>
      <c r="H72" s="776">
        <f>+'Plan de Accion 2018'!AA88</f>
        <v>0.12409059904788024</v>
      </c>
      <c r="I72" s="777">
        <f>+'Plan de Accion 2018'!BM88</f>
        <v>0.49636239619152095</v>
      </c>
      <c r="J72" s="777">
        <f t="shared" si="6"/>
        <v>0.49636239619152095</v>
      </c>
      <c r="K72" s="777">
        <f>+'Plan de Accion 2018'!AF88</f>
        <v>0.12409059904788024</v>
      </c>
      <c r="L72" s="777">
        <f t="shared" si="7"/>
        <v>0.12409059904788024</v>
      </c>
      <c r="M72" s="1391">
        <f t="shared" si="8"/>
        <v>0.12409059904788024</v>
      </c>
      <c r="N72" s="887"/>
      <c r="O72" s="776">
        <f>+'Plan de Accion 2018'!AK88</f>
        <v>0.24818119809576047</v>
      </c>
      <c r="P72" s="777">
        <f>+'Plan de Accion 2018'!BO88</f>
        <v>0.9927247923830419</v>
      </c>
      <c r="Q72" s="870">
        <f t="shared" si="0"/>
        <v>0.9927247923830419</v>
      </c>
      <c r="R72" s="892">
        <f>+'Plan de Accion 2018'!AP88</f>
        <v>0.37227179714364067</v>
      </c>
      <c r="S72" s="892">
        <f t="shared" si="9"/>
        <v>0.37227179714364067</v>
      </c>
      <c r="T72" s="878">
        <f t="shared" si="1"/>
        <v>0.37227179714364067</v>
      </c>
      <c r="U72" s="336"/>
      <c r="V72" s="776">
        <f>+'Plan de Accion 2018'!AU88</f>
        <v>0</v>
      </c>
      <c r="W72" s="777">
        <f>+'Plan de Accion 2018'!BQ88</f>
        <v>0</v>
      </c>
      <c r="X72" s="870">
        <f t="shared" si="2"/>
        <v>0</v>
      </c>
      <c r="Y72" s="777">
        <f>+'Plan de Accion 2018'!AZ88</f>
        <v>0.37227179714364067</v>
      </c>
      <c r="Z72" s="892">
        <f t="shared" si="12"/>
        <v>0.37227179714364067</v>
      </c>
      <c r="AA72" s="878">
        <f t="shared" si="3"/>
        <v>0.37227179714364067</v>
      </c>
      <c r="AB72" s="336"/>
      <c r="AC72" s="330">
        <f>+'Plan de Accion 2018'!BE88</f>
        <v>0</v>
      </c>
      <c r="AD72" s="331">
        <f>+'Plan de Accion 2018'!BS88</f>
        <v>0</v>
      </c>
      <c r="AE72" s="870">
        <f t="shared" si="4"/>
        <v>0</v>
      </c>
      <c r="AF72" s="777">
        <f>+'Plan de Accion 2018'!BJ88</f>
        <v>0.37227179714364067</v>
      </c>
      <c r="AG72" s="878">
        <f t="shared" si="5"/>
        <v>0.37227179714364067</v>
      </c>
      <c r="AH72" s="362"/>
      <c r="AI72" s="363"/>
      <c r="AJ72" s="364"/>
      <c r="AK72" s="365"/>
      <c r="AL72" s="366"/>
      <c r="AM72" s="364"/>
      <c r="AN72" s="365"/>
      <c r="AO72" s="366"/>
      <c r="AP72" s="364"/>
      <c r="AQ72" s="365"/>
      <c r="AR72" s="366"/>
      <c r="AS72" s="364"/>
      <c r="AT72" s="365"/>
      <c r="AU72" s="367"/>
      <c r="AV72" s="368"/>
      <c r="AW72" s="367"/>
      <c r="AX72" s="364"/>
      <c r="AY72" s="365"/>
      <c r="AZ72" s="366"/>
      <c r="BA72" s="364"/>
      <c r="BB72" s="365"/>
      <c r="BC72" s="366"/>
      <c r="BD72" s="364"/>
      <c r="BE72" s="365"/>
      <c r="BF72" s="366"/>
      <c r="BG72" s="364"/>
      <c r="BH72" s="365"/>
      <c r="BI72" s="367"/>
      <c r="BJ72" s="368"/>
      <c r="BL72" s="364"/>
      <c r="BM72" s="365"/>
      <c r="BN72" s="366"/>
      <c r="BO72" s="364"/>
      <c r="BP72" s="365"/>
      <c r="BQ72" s="366"/>
      <c r="BR72" s="364"/>
      <c r="BS72" s="365"/>
      <c r="BT72" s="366"/>
      <c r="BU72" s="364"/>
      <c r="BV72" s="365"/>
      <c r="BW72" s="367"/>
      <c r="BX72" s="368"/>
      <c r="BZ72" s="364"/>
      <c r="CA72" s="365"/>
      <c r="CB72" s="366"/>
      <c r="CC72" s="364"/>
      <c r="CD72" s="365"/>
      <c r="CE72" s="366"/>
      <c r="CF72" s="364"/>
      <c r="CG72" s="365"/>
      <c r="CH72" s="366"/>
      <c r="CI72" s="364"/>
      <c r="CJ72" s="365"/>
      <c r="CK72" s="367"/>
      <c r="CL72" s="368"/>
    </row>
    <row r="73" spans="2:90" ht="29.25" thickBot="1" x14ac:dyDescent="0.3">
      <c r="B73" s="1177"/>
      <c r="C73" s="1172"/>
      <c r="D73" s="610" t="str">
        <f>+'Plan de Accion 2018'!F157</f>
        <v>Red de almacenamiento de información (producto o servicio)</v>
      </c>
      <c r="E73" s="1158"/>
      <c r="F73" s="611" t="str">
        <f>+'Plan de Accion 2018'!R157</f>
        <v>Valor pagado / Valor programado</v>
      </c>
      <c r="G73" s="335"/>
      <c r="H73" s="776">
        <f>+'Plan de Accion 2018'!AA157</f>
        <v>0</v>
      </c>
      <c r="I73" s="777" t="str">
        <f>+'Plan de Accion 2018'!BM157</f>
        <v>No Prog ni Ejec</v>
      </c>
      <c r="J73" s="777" t="s">
        <v>792</v>
      </c>
      <c r="K73" s="777">
        <f>+'Plan de Accion 2018'!AF157</f>
        <v>0</v>
      </c>
      <c r="L73" s="777">
        <f t="shared" si="7"/>
        <v>0</v>
      </c>
      <c r="M73" s="1391" t="s">
        <v>792</v>
      </c>
      <c r="N73" s="887"/>
      <c r="O73" s="776">
        <f>+'Plan de Accion 2018'!AK157</f>
        <v>0</v>
      </c>
      <c r="P73" s="777" t="str">
        <f>+'Plan de Accion 2018'!BO157</f>
        <v>No Prog ni Ejec</v>
      </c>
      <c r="Q73" s="870" t="s">
        <v>792</v>
      </c>
      <c r="R73" s="892">
        <f>+'Plan de Accion 2018'!AP157</f>
        <v>0</v>
      </c>
      <c r="S73" s="892">
        <f t="shared" si="9"/>
        <v>0</v>
      </c>
      <c r="T73" s="878" t="s">
        <v>792</v>
      </c>
      <c r="U73" s="336"/>
      <c r="V73" s="776">
        <f>+'Plan de Accion 2018'!AU157</f>
        <v>0</v>
      </c>
      <c r="W73" s="777">
        <f>+'Plan de Accion 2018'!BQ157</f>
        <v>0</v>
      </c>
      <c r="X73" s="870">
        <f t="shared" si="2"/>
        <v>0</v>
      </c>
      <c r="Y73" s="777">
        <f>+'Plan de Accion 2018'!AZ157</f>
        <v>0</v>
      </c>
      <c r="Z73" s="892">
        <f t="shared" si="12"/>
        <v>0</v>
      </c>
      <c r="AA73" s="878">
        <f t="shared" si="3"/>
        <v>0</v>
      </c>
      <c r="AB73" s="336"/>
      <c r="AC73" s="330">
        <f>+'Plan de Accion 2018'!BE157</f>
        <v>0</v>
      </c>
      <c r="AD73" s="331" t="str">
        <f>+'Plan de Accion 2018'!BS157</f>
        <v>No Prog ni Ejec</v>
      </c>
      <c r="AE73" s="870" t="s">
        <v>792</v>
      </c>
      <c r="AF73" s="777">
        <f>+'Plan de Accion 2018'!BJ157</f>
        <v>0</v>
      </c>
      <c r="AG73" s="878">
        <f t="shared" si="5"/>
        <v>0</v>
      </c>
      <c r="AH73" s="362"/>
      <c r="AI73" s="363"/>
      <c r="AJ73" s="364"/>
      <c r="AK73" s="365"/>
      <c r="AL73" s="366"/>
      <c r="AM73" s="364"/>
      <c r="AN73" s="365"/>
      <c r="AO73" s="366"/>
      <c r="AP73" s="364"/>
      <c r="AQ73" s="365"/>
      <c r="AR73" s="366"/>
      <c r="AS73" s="364"/>
      <c r="AT73" s="365"/>
      <c r="AU73" s="367"/>
      <c r="AV73" s="368"/>
      <c r="AW73" s="367"/>
      <c r="AX73" s="364"/>
      <c r="AY73" s="365"/>
      <c r="AZ73" s="366"/>
      <c r="BA73" s="364"/>
      <c r="BB73" s="365"/>
      <c r="BC73" s="366"/>
      <c r="BD73" s="364"/>
      <c r="BE73" s="365"/>
      <c r="BF73" s="366"/>
      <c r="BG73" s="364"/>
      <c r="BH73" s="365"/>
      <c r="BI73" s="367"/>
      <c r="BJ73" s="368"/>
      <c r="BL73" s="364"/>
      <c r="BM73" s="365"/>
      <c r="BN73" s="366"/>
      <c r="BO73" s="364"/>
      <c r="BP73" s="365"/>
      <c r="BQ73" s="366"/>
      <c r="BR73" s="364"/>
      <c r="BS73" s="365"/>
      <c r="BT73" s="366"/>
      <c r="BU73" s="364"/>
      <c r="BV73" s="365"/>
      <c r="BW73" s="367"/>
      <c r="BX73" s="368"/>
      <c r="BZ73" s="364"/>
      <c r="CA73" s="365"/>
      <c r="CB73" s="366"/>
      <c r="CC73" s="364"/>
      <c r="CD73" s="365"/>
      <c r="CE73" s="366"/>
      <c r="CF73" s="364"/>
      <c r="CG73" s="365"/>
      <c r="CH73" s="366"/>
      <c r="CI73" s="364"/>
      <c r="CJ73" s="365"/>
      <c r="CK73" s="367"/>
      <c r="CL73" s="368"/>
    </row>
    <row r="74" spans="2:90" ht="29.25" thickBot="1" x14ac:dyDescent="0.3">
      <c r="B74" s="1177"/>
      <c r="C74" s="1172"/>
      <c r="D74" s="610" t="str">
        <f>+'Plan de Accion 2018'!F158</f>
        <v>Portal web y portal intranet de la ADRES</v>
      </c>
      <c r="E74" s="1158"/>
      <c r="F74" s="611" t="str">
        <f>+'Plan de Accion 2018'!R158</f>
        <v>Valor pagado / Valor programado</v>
      </c>
      <c r="G74" s="335"/>
      <c r="H74" s="776">
        <f>+'Plan de Accion 2018'!AA158</f>
        <v>0</v>
      </c>
      <c r="I74" s="777" t="str">
        <f>+'Plan de Accion 2018'!BM158</f>
        <v>No Prog ni Ejec</v>
      </c>
      <c r="J74" s="777" t="s">
        <v>792</v>
      </c>
      <c r="K74" s="777">
        <f>+'Plan de Accion 2018'!AF158</f>
        <v>0</v>
      </c>
      <c r="L74" s="777">
        <f t="shared" si="7"/>
        <v>0</v>
      </c>
      <c r="M74" s="1391" t="s">
        <v>792</v>
      </c>
      <c r="N74" s="887"/>
      <c r="O74" s="776">
        <f>+'Plan de Accion 2018'!AK158</f>
        <v>0</v>
      </c>
      <c r="P74" s="777">
        <f>+'Plan de Accion 2018'!BO158</f>
        <v>0</v>
      </c>
      <c r="Q74" s="870">
        <f t="shared" si="0"/>
        <v>0</v>
      </c>
      <c r="R74" s="892">
        <f>+'Plan de Accion 2018'!AP158</f>
        <v>0</v>
      </c>
      <c r="S74" s="892">
        <f t="shared" si="9"/>
        <v>0</v>
      </c>
      <c r="T74" s="878">
        <f t="shared" si="1"/>
        <v>0</v>
      </c>
      <c r="U74" s="336"/>
      <c r="V74" s="776">
        <f>+'Plan de Accion 2018'!AU158</f>
        <v>0</v>
      </c>
      <c r="W74" s="777">
        <f>+'Plan de Accion 2018'!BQ158</f>
        <v>0</v>
      </c>
      <c r="X74" s="870">
        <f t="shared" si="2"/>
        <v>0</v>
      </c>
      <c r="Y74" s="777">
        <f>+'Plan de Accion 2018'!AZ158</f>
        <v>0</v>
      </c>
      <c r="Z74" s="892">
        <f t="shared" si="12"/>
        <v>0</v>
      </c>
      <c r="AA74" s="878">
        <f t="shared" si="3"/>
        <v>0</v>
      </c>
      <c r="AB74" s="336"/>
      <c r="AC74" s="330">
        <f>+'Plan de Accion 2018'!BE158</f>
        <v>0</v>
      </c>
      <c r="AD74" s="331">
        <f>+'Plan de Accion 2018'!BS158</f>
        <v>0</v>
      </c>
      <c r="AE74" s="870">
        <f t="shared" si="4"/>
        <v>0</v>
      </c>
      <c r="AF74" s="777">
        <f>+'Plan de Accion 2018'!BJ158</f>
        <v>0</v>
      </c>
      <c r="AG74" s="878">
        <f t="shared" si="5"/>
        <v>0</v>
      </c>
      <c r="AH74" s="362"/>
      <c r="AI74" s="363"/>
      <c r="AJ74" s="364"/>
      <c r="AK74" s="365"/>
      <c r="AL74" s="366"/>
      <c r="AM74" s="364"/>
      <c r="AN74" s="365"/>
      <c r="AO74" s="366"/>
      <c r="AP74" s="364"/>
      <c r="AQ74" s="365"/>
      <c r="AR74" s="366"/>
      <c r="AS74" s="364"/>
      <c r="AT74" s="365"/>
      <c r="AU74" s="367"/>
      <c r="AV74" s="368"/>
      <c r="AW74" s="367"/>
      <c r="AX74" s="364"/>
      <c r="AY74" s="365"/>
      <c r="AZ74" s="366"/>
      <c r="BA74" s="364"/>
      <c r="BB74" s="365"/>
      <c r="BC74" s="366"/>
      <c r="BD74" s="364"/>
      <c r="BE74" s="365"/>
      <c r="BF74" s="366"/>
      <c r="BG74" s="364"/>
      <c r="BH74" s="365"/>
      <c r="BI74" s="367"/>
      <c r="BJ74" s="368"/>
      <c r="BL74" s="364"/>
      <c r="BM74" s="365"/>
      <c r="BN74" s="366"/>
      <c r="BO74" s="364"/>
      <c r="BP74" s="365"/>
      <c r="BQ74" s="366"/>
      <c r="BR74" s="364"/>
      <c r="BS74" s="365"/>
      <c r="BT74" s="366"/>
      <c r="BU74" s="364"/>
      <c r="BV74" s="365"/>
      <c r="BW74" s="367"/>
      <c r="BX74" s="368"/>
      <c r="BZ74" s="364"/>
      <c r="CA74" s="365"/>
      <c r="CB74" s="366"/>
      <c r="CC74" s="364"/>
      <c r="CD74" s="365"/>
      <c r="CE74" s="366"/>
      <c r="CF74" s="364"/>
      <c r="CG74" s="365"/>
      <c r="CH74" s="366"/>
      <c r="CI74" s="364"/>
      <c r="CJ74" s="365"/>
      <c r="CK74" s="367"/>
      <c r="CL74" s="368"/>
    </row>
    <row r="75" spans="2:90" ht="114.75" thickBot="1" x14ac:dyDescent="0.3">
      <c r="B75" s="1177"/>
      <c r="C75" s="1172"/>
      <c r="D75" s="332" t="str">
        <f>+'Plan de Accion 2018'!F83</f>
        <v>Implementar estrategias, instrumentos y herramientas con aplicación de tecnologías de la información y las comunicaciones para brindar de manera constante y permanente un buen servicio al ciudadano y a las entidades del Sector.</v>
      </c>
      <c r="E75" s="1158"/>
      <c r="F75" s="1187" t="s">
        <v>815</v>
      </c>
      <c r="G75" s="335"/>
      <c r="H75" s="776">
        <f>+'Plan de Accion 2018'!AD83</f>
        <v>0.77640039581520692</v>
      </c>
      <c r="I75" s="777">
        <f>+'Plan de Accion 2018'!BM83</f>
        <v>0.77640039581520692</v>
      </c>
      <c r="J75" s="777">
        <f t="shared" si="6"/>
        <v>0.77640039581520692</v>
      </c>
      <c r="K75" s="777">
        <f>+'Plan de Accion 2018'!AF83</f>
        <v>9.8650464447175026E-2</v>
      </c>
      <c r="L75" s="777">
        <f t="shared" si="7"/>
        <v>9.8650464447175026E-2</v>
      </c>
      <c r="M75" s="1391">
        <f t="shared" si="8"/>
        <v>9.8650464447175026E-2</v>
      </c>
      <c r="N75" s="883"/>
      <c r="O75" s="776">
        <f>+'Plan de Accion 2018'!AN83</f>
        <v>0.54694304416554862</v>
      </c>
      <c r="P75" s="777">
        <f>+'Plan de Accion 2018'!BO83</f>
        <v>0.54694304416554862</v>
      </c>
      <c r="Q75" s="870">
        <f t="shared" si="0"/>
        <v>0.54694304416554862</v>
      </c>
      <c r="R75" s="892">
        <f>+'Plan de Accion 2018'!AP83</f>
        <v>0.22400981016991878</v>
      </c>
      <c r="S75" s="892">
        <f t="shared" si="9"/>
        <v>0.22400981016991878</v>
      </c>
      <c r="T75" s="878">
        <f t="shared" si="1"/>
        <v>0.22400981016991878</v>
      </c>
      <c r="U75" s="324"/>
      <c r="V75" s="776">
        <f>+'Plan de Accion 2018'!AX83</f>
        <v>0</v>
      </c>
      <c r="W75" s="777">
        <f>+'Plan de Accion 2018'!BQ83</f>
        <v>0</v>
      </c>
      <c r="X75" s="870">
        <f t="shared" si="2"/>
        <v>0</v>
      </c>
      <c r="Y75" s="777">
        <f>+'Plan de Accion 2018'!AZ83</f>
        <v>0.22400981016991878</v>
      </c>
      <c r="Z75" s="892">
        <f t="shared" si="12"/>
        <v>0.22400981016991878</v>
      </c>
      <c r="AA75" s="878">
        <f t="shared" si="3"/>
        <v>0.22400981016991878</v>
      </c>
      <c r="AB75" s="324"/>
      <c r="AC75" s="330">
        <f>+'Plan de Accion 2018'!BH83</f>
        <v>0</v>
      </c>
      <c r="AD75" s="331">
        <f>+'Plan de Accion 2018'!BS83</f>
        <v>0</v>
      </c>
      <c r="AE75" s="870">
        <f t="shared" si="4"/>
        <v>0</v>
      </c>
      <c r="AF75" s="777">
        <f>+'Plan de Accion 2018'!BJ83</f>
        <v>0.22400981016991878</v>
      </c>
      <c r="AG75" s="878">
        <f t="shared" si="5"/>
        <v>0.22400981016991878</v>
      </c>
      <c r="AH75" s="362"/>
      <c r="AI75" s="363"/>
      <c r="AJ75" s="364"/>
      <c r="AK75" s="365"/>
      <c r="AL75" s="366"/>
      <c r="AM75" s="364"/>
      <c r="AN75" s="365"/>
      <c r="AO75" s="366"/>
      <c r="AP75" s="364"/>
      <c r="AQ75" s="365"/>
      <c r="AR75" s="366"/>
      <c r="AS75" s="364"/>
      <c r="AT75" s="365"/>
      <c r="AU75" s="367"/>
      <c r="AV75" s="368"/>
      <c r="AW75" s="367"/>
      <c r="AX75" s="364"/>
      <c r="AY75" s="365"/>
      <c r="AZ75" s="366"/>
      <c r="BA75" s="364"/>
      <c r="BB75" s="365"/>
      <c r="BC75" s="366"/>
      <c r="BD75" s="364"/>
      <c r="BE75" s="365"/>
      <c r="BF75" s="366"/>
      <c r="BG75" s="364"/>
      <c r="BH75" s="365"/>
      <c r="BI75" s="367"/>
      <c r="BJ75" s="368"/>
      <c r="BL75" s="364"/>
      <c r="BM75" s="365"/>
      <c r="BN75" s="366"/>
      <c r="BO75" s="364"/>
      <c r="BP75" s="365"/>
      <c r="BQ75" s="366"/>
      <c r="BR75" s="364"/>
      <c r="BS75" s="365"/>
      <c r="BT75" s="366"/>
      <c r="BU75" s="364"/>
      <c r="BV75" s="365"/>
      <c r="BW75" s="367"/>
      <c r="BX75" s="368"/>
      <c r="BZ75" s="364"/>
      <c r="CA75" s="365"/>
      <c r="CB75" s="366"/>
      <c r="CC75" s="364"/>
      <c r="CD75" s="365"/>
      <c r="CE75" s="366"/>
      <c r="CF75" s="364"/>
      <c r="CG75" s="365"/>
      <c r="CH75" s="366"/>
      <c r="CI75" s="364"/>
      <c r="CJ75" s="365"/>
      <c r="CK75" s="367"/>
      <c r="CL75" s="368"/>
    </row>
    <row r="76" spans="2:90" ht="29.25" thickBot="1" x14ac:dyDescent="0.3">
      <c r="B76" s="1177"/>
      <c r="C76" s="1173"/>
      <c r="D76" s="337" t="str">
        <f>+'Plan de Accion 2018'!F84</f>
        <v>Desarrollo de nuevos Sistemas de información</v>
      </c>
      <c r="E76" s="1099"/>
      <c r="F76" s="1188"/>
      <c r="G76" s="335"/>
      <c r="H76" s="340" t="e">
        <f>+'Plan de Accion 2018'!AD84</f>
        <v>#DIV/0!</v>
      </c>
      <c r="I76" s="928" t="str">
        <f>+'Plan de Accion 2018'!BM84</f>
        <v>No Prog ni Ejec</v>
      </c>
      <c r="J76" s="928" t="s">
        <v>792</v>
      </c>
      <c r="K76" s="928">
        <f>+'Plan de Accion 2018'!AF84</f>
        <v>0</v>
      </c>
      <c r="L76" s="928">
        <f t="shared" si="7"/>
        <v>0</v>
      </c>
      <c r="M76" s="930" t="s">
        <v>792</v>
      </c>
      <c r="N76" s="883"/>
      <c r="O76" s="340">
        <f>+'Plan de Accion 2018'!AN84</f>
        <v>0</v>
      </c>
      <c r="P76" s="890">
        <f>+'Plan de Accion 2018'!BO84</f>
        <v>0</v>
      </c>
      <c r="Q76" s="872">
        <f t="shared" si="0"/>
        <v>0</v>
      </c>
      <c r="R76" s="892">
        <f>+'Plan de Accion 2018'!AP84</f>
        <v>0</v>
      </c>
      <c r="S76" s="891">
        <f t="shared" si="9"/>
        <v>0</v>
      </c>
      <c r="T76" s="878">
        <f t="shared" si="1"/>
        <v>0</v>
      </c>
      <c r="U76" s="324"/>
      <c r="V76" s="340">
        <f>+'Plan de Accion 2018'!AX84</f>
        <v>0</v>
      </c>
      <c r="W76" s="890">
        <f>+'Plan de Accion 2018'!BQ84</f>
        <v>0</v>
      </c>
      <c r="X76" s="870">
        <f t="shared" si="2"/>
        <v>0</v>
      </c>
      <c r="Y76" s="890">
        <f>+'Plan de Accion 2018'!AZ84</f>
        <v>0</v>
      </c>
      <c r="Z76" s="892">
        <f t="shared" si="12"/>
        <v>0</v>
      </c>
      <c r="AA76" s="878">
        <f t="shared" si="3"/>
        <v>0</v>
      </c>
      <c r="AB76" s="324"/>
      <c r="AC76" s="340">
        <f>+'Plan de Accion 2018'!BH84</f>
        <v>0</v>
      </c>
      <c r="AD76" s="341">
        <f>+'Plan de Accion 2018'!BS84</f>
        <v>0</v>
      </c>
      <c r="AE76" s="870">
        <f t="shared" si="4"/>
        <v>0</v>
      </c>
      <c r="AF76" s="885">
        <f>+'Plan de Accion 2018'!BJ84</f>
        <v>0</v>
      </c>
      <c r="AG76" s="878">
        <f t="shared" si="5"/>
        <v>0</v>
      </c>
      <c r="AH76" s="362"/>
      <c r="AI76" s="363"/>
      <c r="AJ76" s="364"/>
      <c r="AK76" s="365"/>
      <c r="AL76" s="366"/>
      <c r="AM76" s="364"/>
      <c r="AN76" s="365"/>
      <c r="AO76" s="366"/>
      <c r="AP76" s="364"/>
      <c r="AQ76" s="365"/>
      <c r="AR76" s="366"/>
      <c r="AS76" s="364"/>
      <c r="AT76" s="365"/>
      <c r="AU76" s="367"/>
      <c r="AV76" s="368"/>
      <c r="AW76" s="367"/>
      <c r="AX76" s="364"/>
      <c r="AY76" s="365"/>
      <c r="AZ76" s="366"/>
      <c r="BA76" s="364"/>
      <c r="BB76" s="365"/>
      <c r="BC76" s="366"/>
      <c r="BD76" s="364"/>
      <c r="BE76" s="365"/>
      <c r="BF76" s="366"/>
      <c r="BG76" s="364"/>
      <c r="BH76" s="365"/>
      <c r="BI76" s="367"/>
      <c r="BJ76" s="368"/>
      <c r="BL76" s="364"/>
      <c r="BM76" s="365"/>
      <c r="BN76" s="366"/>
      <c r="BO76" s="364"/>
      <c r="BP76" s="365"/>
      <c r="BQ76" s="366"/>
      <c r="BR76" s="364"/>
      <c r="BS76" s="365"/>
      <c r="BT76" s="366"/>
      <c r="BU76" s="364"/>
      <c r="BV76" s="365"/>
      <c r="BW76" s="367"/>
      <c r="BX76" s="368"/>
      <c r="BZ76" s="364"/>
      <c r="CA76" s="365"/>
      <c r="CB76" s="366"/>
      <c r="CC76" s="364"/>
      <c r="CD76" s="365"/>
      <c r="CE76" s="366"/>
      <c r="CF76" s="364"/>
      <c r="CG76" s="365"/>
      <c r="CH76" s="366"/>
      <c r="CI76" s="364"/>
      <c r="CJ76" s="365"/>
      <c r="CK76" s="367"/>
      <c r="CL76" s="368"/>
    </row>
    <row r="77" spans="2:90" ht="20.25" thickBot="1" x14ac:dyDescent="0.3">
      <c r="B77" s="1178"/>
      <c r="C77" s="1142" t="s">
        <v>798</v>
      </c>
      <c r="D77" s="1143"/>
      <c r="E77" s="1143"/>
      <c r="F77" s="1144"/>
      <c r="G77" s="335"/>
      <c r="H77" s="358" t="s">
        <v>792</v>
      </c>
      <c r="I77" s="344">
        <f>SUM(I66:I76)/COUNT(I66:I76)</f>
        <v>0.66282293023824934</v>
      </c>
      <c r="J77" s="344">
        <f t="shared" si="6"/>
        <v>0.66282293023824934</v>
      </c>
      <c r="K77" s="344">
        <f>SUM(K66:K76)/COUNT(K66:K76)</f>
        <v>7.6364750096497999E-2</v>
      </c>
      <c r="L77" s="344">
        <f>SUM(L66:L76)/COUNT(L66:L76)</f>
        <v>7.6364750096497999E-2</v>
      </c>
      <c r="M77" s="346">
        <f>SUM(M66:M76)/COUNT(M66:M76)</f>
        <v>0.14000204184357964</v>
      </c>
      <c r="N77" s="1406"/>
      <c r="O77" s="358" t="s">
        <v>792</v>
      </c>
      <c r="P77" s="876">
        <f>SUM(P66:P76)/COUNT(P66:P76)</f>
        <v>0.65803650076892406</v>
      </c>
      <c r="Q77" s="876">
        <f>SUM(Q66:Q76)/COUNT(Q66:Q76)</f>
        <v>0.63467917574176058</v>
      </c>
      <c r="R77" s="880">
        <f>SUM(R66:R76)/COUNT(R66:R76)</f>
        <v>0.21136258627939589</v>
      </c>
      <c r="S77" s="918">
        <f>SUM(S66:S76)/COUNT(S66:S76)</f>
        <v>0.21136258627939589</v>
      </c>
      <c r="T77" s="888">
        <f>SUM(T66:T76)/COUNT(T66:T76)</f>
        <v>0.2583320498970394</v>
      </c>
      <c r="U77" s="369"/>
      <c r="V77" s="358" t="s">
        <v>792</v>
      </c>
      <c r="W77" s="344">
        <f>SUM(W66:W76)/COUNT(W66:W76)</f>
        <v>0</v>
      </c>
      <c r="X77" s="344">
        <f>SUM(X66:X76)/COUNT(X66:X76)</f>
        <v>0</v>
      </c>
      <c r="Y77" s="876">
        <f>SUM(Y66:Y76)/COUNT(Y66:Y76)</f>
        <v>0.21136258627939589</v>
      </c>
      <c r="Z77" s="344">
        <f>SUM(Z66:Z76)/COUNT(Z66:Z76)</f>
        <v>0.21136258627939589</v>
      </c>
      <c r="AA77" s="346">
        <f>SUM(AA66:AA76)/COUNT(AA66:AA76)</f>
        <v>0.21136258627939589</v>
      </c>
      <c r="AB77" s="369"/>
      <c r="AC77" s="358" t="s">
        <v>792</v>
      </c>
      <c r="AD77" s="344">
        <f>SUM(AD66:AD76)/COUNT(AD66:AD76)</f>
        <v>0</v>
      </c>
      <c r="AE77" s="344">
        <f>SUM(AE66:AE76)/COUNT(AE66:AE76)</f>
        <v>0</v>
      </c>
      <c r="AF77" s="876">
        <f>SUM(AF66:AH76)/COUNT(AF66:AH76)</f>
        <v>0.2113625862793958</v>
      </c>
      <c r="AG77" s="346">
        <f>SUM(AG66:AI76)/COUNT(AG66:AI76)</f>
        <v>0.21136258627939589</v>
      </c>
      <c r="AH77" s="362"/>
      <c r="AI77" s="363"/>
      <c r="AJ77" s="364"/>
      <c r="AK77" s="365"/>
      <c r="AL77" s="366"/>
      <c r="AM77" s="364"/>
      <c r="AN77" s="365"/>
      <c r="AO77" s="366"/>
      <c r="AP77" s="364"/>
      <c r="AQ77" s="365"/>
      <c r="AR77" s="366"/>
      <c r="AS77" s="364"/>
      <c r="AT77" s="365"/>
      <c r="AU77" s="367"/>
      <c r="AV77" s="368"/>
      <c r="AW77" s="367"/>
      <c r="AX77" s="364"/>
      <c r="AY77" s="365"/>
      <c r="AZ77" s="366"/>
      <c r="BA77" s="364"/>
      <c r="BB77" s="365"/>
      <c r="BC77" s="366"/>
      <c r="BD77" s="364"/>
      <c r="BE77" s="365"/>
      <c r="BF77" s="366"/>
      <c r="BG77" s="364"/>
      <c r="BH77" s="365"/>
      <c r="BI77" s="367"/>
      <c r="BJ77" s="368"/>
      <c r="BL77" s="364"/>
      <c r="BM77" s="365"/>
      <c r="BN77" s="366"/>
      <c r="BO77" s="364"/>
      <c r="BP77" s="365"/>
      <c r="BQ77" s="366"/>
      <c r="BR77" s="364"/>
      <c r="BS77" s="365"/>
      <c r="BT77" s="366"/>
      <c r="BU77" s="364"/>
      <c r="BV77" s="365"/>
      <c r="BW77" s="367"/>
      <c r="BX77" s="368"/>
      <c r="BZ77" s="364"/>
      <c r="CA77" s="365"/>
      <c r="CB77" s="366"/>
      <c r="CC77" s="364"/>
      <c r="CD77" s="365"/>
      <c r="CE77" s="366"/>
      <c r="CF77" s="364"/>
      <c r="CG77" s="365"/>
      <c r="CH77" s="366"/>
      <c r="CI77" s="364"/>
      <c r="CJ77" s="365"/>
      <c r="CK77" s="367"/>
      <c r="CL77" s="368"/>
    </row>
    <row r="78" spans="2:90" ht="29.25" customHeight="1" thickBot="1" x14ac:dyDescent="0.3">
      <c r="B78" s="1177"/>
      <c r="C78" s="1171" t="s">
        <v>146</v>
      </c>
      <c r="D78" s="1101" t="str">
        <f>+'Plan de Accion 2018'!F150</f>
        <v>Recursos de casación, asesorías y representación judicial</v>
      </c>
      <c r="E78" s="1100" t="str">
        <f>+'Plan de Accion 2018'!B153</f>
        <v>Oficina Asesora Jurídica</v>
      </c>
      <c r="F78" s="1159" t="str">
        <f>+'Plan de Accion 2018'!R150</f>
        <v>Ejecución del Trimestre / Presupuesto Proyectado del Trimestre</v>
      </c>
      <c r="G78" s="335"/>
      <c r="H78" s="322">
        <f>+'Plan de Accion 2018'!AD150</f>
        <v>0</v>
      </c>
      <c r="I78" s="929">
        <f>+'Plan de Accion 2018'!BM150</f>
        <v>0</v>
      </c>
      <c r="J78" s="929">
        <f t="shared" si="6"/>
        <v>0</v>
      </c>
      <c r="K78" s="929">
        <f>+'Plan de Accion 2018'!AF150</f>
        <v>0</v>
      </c>
      <c r="L78" s="929">
        <f t="shared" si="7"/>
        <v>0</v>
      </c>
      <c r="M78" s="931">
        <f t="shared" si="8"/>
        <v>0</v>
      </c>
      <c r="N78" s="887"/>
      <c r="O78" s="322" t="e">
        <f>+'Plan de Accion 2018'!AK150</f>
        <v>#DIV/0!</v>
      </c>
      <c r="P78" s="892">
        <f>+'Plan de Accion 2018'!BO150</f>
        <v>0</v>
      </c>
      <c r="Q78" s="870">
        <f t="shared" ref="Q78:Q140" si="13">IF(P78&gt;100%,100%,P78)</f>
        <v>0</v>
      </c>
      <c r="R78" s="892">
        <f>+'Plan de Accion 2018'!AP150</f>
        <v>0</v>
      </c>
      <c r="S78" s="892">
        <f t="shared" ref="S78:S140" si="14">IF(R78&gt;50%,50%,R78)</f>
        <v>0</v>
      </c>
      <c r="T78" s="878">
        <f t="shared" ref="T78:T140" si="15">+S78</f>
        <v>0</v>
      </c>
      <c r="U78" s="336"/>
      <c r="V78" s="322">
        <f>+'Plan de Accion 2018'!AU150</f>
        <v>0</v>
      </c>
      <c r="W78" s="892">
        <f>+'Plan de Accion 2018'!BQ150</f>
        <v>0</v>
      </c>
      <c r="X78" s="870">
        <f t="shared" ref="X78:X140" si="16">IF(W78&gt;100%,100%,W78)</f>
        <v>0</v>
      </c>
      <c r="Y78" s="892">
        <f>+'Plan de Accion 2018'!AZ150</f>
        <v>0</v>
      </c>
      <c r="Z78" s="892">
        <f t="shared" ref="Z78:Z97" si="17">IF(Y78&gt;75%,75%,Y78)</f>
        <v>0</v>
      </c>
      <c r="AA78" s="878">
        <f t="shared" si="3"/>
        <v>0</v>
      </c>
      <c r="AB78" s="336"/>
      <c r="AC78" s="322">
        <f>+'Plan de Accion 2018'!BE150</f>
        <v>0</v>
      </c>
      <c r="AD78" s="323">
        <f>+'Plan de Accion 2018'!BS150</f>
        <v>0</v>
      </c>
      <c r="AE78" s="870">
        <f t="shared" ref="AE78:AE140" si="18">IF(AD78&gt;100%,100%,AD78)</f>
        <v>0</v>
      </c>
      <c r="AF78" s="886">
        <f>+'Plan de Accion 2018'!BJ150</f>
        <v>0</v>
      </c>
      <c r="AG78" s="878">
        <f t="shared" ref="AG78:AG140" si="19">IF(AF78&gt;100%,100%,AF78)</f>
        <v>0</v>
      </c>
      <c r="AH78" s="362"/>
      <c r="AI78" s="363"/>
      <c r="AJ78" s="364"/>
      <c r="AK78" s="365"/>
      <c r="AL78" s="366"/>
      <c r="AM78" s="364"/>
      <c r="AN78" s="365"/>
      <c r="AO78" s="366"/>
      <c r="AP78" s="364"/>
      <c r="AQ78" s="365"/>
      <c r="AR78" s="366"/>
      <c r="AS78" s="364"/>
      <c r="AT78" s="365"/>
      <c r="AU78" s="367"/>
      <c r="AV78" s="368"/>
      <c r="AW78" s="367"/>
      <c r="AX78" s="364"/>
      <c r="AY78" s="365"/>
      <c r="AZ78" s="366"/>
      <c r="BA78" s="364"/>
      <c r="BB78" s="365"/>
      <c r="BC78" s="366"/>
      <c r="BD78" s="364"/>
      <c r="BE78" s="365"/>
      <c r="BF78" s="366"/>
      <c r="BG78" s="364"/>
      <c r="BH78" s="365"/>
      <c r="BI78" s="367"/>
      <c r="BJ78" s="368"/>
      <c r="BL78" s="364"/>
      <c r="BM78" s="365"/>
      <c r="BN78" s="366"/>
      <c r="BO78" s="364"/>
      <c r="BP78" s="365"/>
      <c r="BQ78" s="366"/>
      <c r="BR78" s="364"/>
      <c r="BS78" s="365"/>
      <c r="BT78" s="366"/>
      <c r="BU78" s="364"/>
      <c r="BV78" s="365"/>
      <c r="BW78" s="367"/>
      <c r="BX78" s="368"/>
      <c r="BZ78" s="364"/>
      <c r="CA78" s="365"/>
      <c r="CB78" s="366"/>
      <c r="CC78" s="364"/>
      <c r="CD78" s="365"/>
      <c r="CE78" s="366"/>
      <c r="CF78" s="364"/>
      <c r="CG78" s="365"/>
      <c r="CH78" s="366"/>
      <c r="CI78" s="364"/>
      <c r="CJ78" s="365"/>
      <c r="CK78" s="367"/>
      <c r="CL78" s="368"/>
    </row>
    <row r="79" spans="2:90" ht="20.25" thickBot="1" x14ac:dyDescent="0.3">
      <c r="B79" s="1177"/>
      <c r="C79" s="1171"/>
      <c r="D79" s="1102"/>
      <c r="E79" s="1100"/>
      <c r="F79" s="1160"/>
      <c r="G79" s="335"/>
      <c r="H79" s="776">
        <f>+'Plan de Accion 2018'!AD151</f>
        <v>0.7395889236717994</v>
      </c>
      <c r="I79" s="777">
        <f>+'Plan de Accion 2018'!BM151</f>
        <v>0.7395889236717994</v>
      </c>
      <c r="J79" s="777">
        <f t="shared" si="6"/>
        <v>0.7395889236717994</v>
      </c>
      <c r="K79" s="777">
        <f>+'Plan de Accion 2018'!AF151</f>
        <v>0.18489723091794985</v>
      </c>
      <c r="L79" s="777">
        <f t="shared" si="7"/>
        <v>0.18489723091794985</v>
      </c>
      <c r="M79" s="1391">
        <f t="shared" si="8"/>
        <v>0.18489723091794985</v>
      </c>
      <c r="N79" s="887"/>
      <c r="O79" s="322">
        <f>+'Plan de Accion 2018'!AK151</f>
        <v>5.9140230506322299E-2</v>
      </c>
      <c r="P79" s="892">
        <f>+'Plan de Accion 2018'!BO151</f>
        <v>0.23656092202528919</v>
      </c>
      <c r="Q79" s="870">
        <f t="shared" si="13"/>
        <v>0.23656092202528919</v>
      </c>
      <c r="R79" s="892">
        <f>+'Plan de Accion 2018'!AP151</f>
        <v>0.24403746142427216</v>
      </c>
      <c r="S79" s="892">
        <f t="shared" si="14"/>
        <v>0.24403746142427216</v>
      </c>
      <c r="T79" s="878">
        <f t="shared" si="15"/>
        <v>0.24403746142427216</v>
      </c>
      <c r="U79" s="336"/>
      <c r="V79" s="322">
        <f>+'Plan de Accion 2018'!AU151</f>
        <v>0</v>
      </c>
      <c r="W79" s="892">
        <f>+'Plan de Accion 2018'!BQ151</f>
        <v>0</v>
      </c>
      <c r="X79" s="870">
        <f t="shared" si="16"/>
        <v>0</v>
      </c>
      <c r="Y79" s="892">
        <f>+'Plan de Accion 2018'!AZ151</f>
        <v>0.24403746142427216</v>
      </c>
      <c r="Z79" s="892">
        <f t="shared" si="17"/>
        <v>0.24403746142427216</v>
      </c>
      <c r="AA79" s="878">
        <f t="shared" si="3"/>
        <v>0.24403746142427216</v>
      </c>
      <c r="AB79" s="336"/>
      <c r="AC79" s="322">
        <f>+'Plan de Accion 2018'!BE151</f>
        <v>0</v>
      </c>
      <c r="AD79" s="323">
        <f>+'Plan de Accion 2018'!BS151</f>
        <v>0</v>
      </c>
      <c r="AE79" s="870">
        <f t="shared" si="18"/>
        <v>0</v>
      </c>
      <c r="AF79" s="886">
        <f>+'Plan de Accion 2018'!BJ151</f>
        <v>0.24403746142427216</v>
      </c>
      <c r="AG79" s="878">
        <f t="shared" si="19"/>
        <v>0.24403746142427216</v>
      </c>
      <c r="AH79" s="362"/>
      <c r="AI79" s="363"/>
      <c r="AJ79" s="364"/>
      <c r="AK79" s="365"/>
      <c r="AL79" s="366"/>
      <c r="AM79" s="364"/>
      <c r="AN79" s="365"/>
      <c r="AO79" s="366"/>
      <c r="AP79" s="364"/>
      <c r="AQ79" s="365"/>
      <c r="AR79" s="366"/>
      <c r="AS79" s="364"/>
      <c r="AT79" s="365"/>
      <c r="AU79" s="367"/>
      <c r="AV79" s="368"/>
      <c r="AW79" s="367"/>
      <c r="AX79" s="364"/>
      <c r="AY79" s="365"/>
      <c r="AZ79" s="366"/>
      <c r="BA79" s="364"/>
      <c r="BB79" s="365"/>
      <c r="BC79" s="366"/>
      <c r="BD79" s="364"/>
      <c r="BE79" s="365"/>
      <c r="BF79" s="366"/>
      <c r="BG79" s="364"/>
      <c r="BH79" s="365"/>
      <c r="BI79" s="367"/>
      <c r="BJ79" s="368"/>
      <c r="BL79" s="364"/>
      <c r="BM79" s="365"/>
      <c r="BN79" s="366"/>
      <c r="BO79" s="364"/>
      <c r="BP79" s="365"/>
      <c r="BQ79" s="366"/>
      <c r="BR79" s="364"/>
      <c r="BS79" s="365"/>
      <c r="BT79" s="366"/>
      <c r="BU79" s="364"/>
      <c r="BV79" s="365"/>
      <c r="BW79" s="367"/>
      <c r="BX79" s="368"/>
      <c r="BZ79" s="364"/>
      <c r="CA79" s="365"/>
      <c r="CB79" s="366"/>
      <c r="CC79" s="364"/>
      <c r="CD79" s="365"/>
      <c r="CE79" s="366"/>
      <c r="CF79" s="364"/>
      <c r="CG79" s="365"/>
      <c r="CH79" s="366"/>
      <c r="CI79" s="364"/>
      <c r="CJ79" s="365"/>
      <c r="CK79" s="367"/>
      <c r="CL79" s="368"/>
    </row>
    <row r="80" spans="2:90" ht="20.25" thickBot="1" x14ac:dyDescent="0.3">
      <c r="B80" s="1177"/>
      <c r="C80" s="1171"/>
      <c r="D80" s="1100"/>
      <c r="E80" s="1100"/>
      <c r="F80" s="1160"/>
      <c r="G80" s="335"/>
      <c r="H80" s="776">
        <f>+'Plan de Accion 2018'!AD152</f>
        <v>1</v>
      </c>
      <c r="I80" s="777">
        <f>+'Plan de Accion 2018'!BM152</f>
        <v>1</v>
      </c>
      <c r="J80" s="777">
        <f t="shared" si="6"/>
        <v>1</v>
      </c>
      <c r="K80" s="777">
        <f>+'Plan de Accion 2018'!AF152</f>
        <v>0.29761904761904762</v>
      </c>
      <c r="L80" s="777">
        <f t="shared" si="7"/>
        <v>0.25</v>
      </c>
      <c r="M80" s="1391">
        <f t="shared" si="8"/>
        <v>0.25</v>
      </c>
      <c r="N80" s="887"/>
      <c r="O80" s="322" t="e">
        <f>+'Plan de Accion 2018'!AK152</f>
        <v>#DIV/0!</v>
      </c>
      <c r="P80" s="892" t="str">
        <f>+'Plan de Accion 2018'!BO152</f>
        <v>No Prog ni Ejec</v>
      </c>
      <c r="Q80" s="870" t="s">
        <v>792</v>
      </c>
      <c r="R80" s="892">
        <f>+'Plan de Accion 2018'!AP152</f>
        <v>0.29761904761904762</v>
      </c>
      <c r="S80" s="892">
        <f t="shared" si="14"/>
        <v>0.29761904761904762</v>
      </c>
      <c r="T80" s="878">
        <f t="shared" si="15"/>
        <v>0.29761904761904762</v>
      </c>
      <c r="U80" s="336"/>
      <c r="V80" s="322">
        <f>+'Plan de Accion 2018'!AU152</f>
        <v>0</v>
      </c>
      <c r="W80" s="892">
        <f>+'Plan de Accion 2018'!BQ152</f>
        <v>0</v>
      </c>
      <c r="X80" s="870">
        <f t="shared" si="16"/>
        <v>0</v>
      </c>
      <c r="Y80" s="892">
        <f>+'Plan de Accion 2018'!AZ152</f>
        <v>0.29761904761904762</v>
      </c>
      <c r="Z80" s="892">
        <f t="shared" si="17"/>
        <v>0.29761904761904762</v>
      </c>
      <c r="AA80" s="878">
        <f t="shared" ref="AA80:AA142" si="20">+Z80</f>
        <v>0.29761904761904762</v>
      </c>
      <c r="AB80" s="336"/>
      <c r="AC80" s="322">
        <f>+'Plan de Accion 2018'!BE152</f>
        <v>0</v>
      </c>
      <c r="AD80" s="323">
        <f>+'Plan de Accion 2018'!BS152</f>
        <v>0</v>
      </c>
      <c r="AE80" s="870">
        <f t="shared" si="18"/>
        <v>0</v>
      </c>
      <c r="AF80" s="886">
        <f>+'Plan de Accion 2018'!BJ152</f>
        <v>0.29761904761904762</v>
      </c>
      <c r="AG80" s="878">
        <f t="shared" si="19"/>
        <v>0.29761904761904762</v>
      </c>
      <c r="AH80" s="362"/>
      <c r="AI80" s="363"/>
      <c r="AJ80" s="364"/>
      <c r="AK80" s="365"/>
      <c r="AL80" s="366"/>
      <c r="AM80" s="364"/>
      <c r="AN80" s="365"/>
      <c r="AO80" s="366"/>
      <c r="AP80" s="364"/>
      <c r="AQ80" s="365"/>
      <c r="AR80" s="366"/>
      <c r="AS80" s="364"/>
      <c r="AT80" s="365"/>
      <c r="AU80" s="367"/>
      <c r="AV80" s="368"/>
      <c r="AW80" s="367"/>
      <c r="AX80" s="364"/>
      <c r="AY80" s="365"/>
      <c r="AZ80" s="366"/>
      <c r="BA80" s="364"/>
      <c r="BB80" s="365"/>
      <c r="BC80" s="366"/>
      <c r="BD80" s="364"/>
      <c r="BE80" s="365"/>
      <c r="BF80" s="366"/>
      <c r="BG80" s="364"/>
      <c r="BH80" s="365"/>
      <c r="BI80" s="367"/>
      <c r="BJ80" s="368"/>
      <c r="BL80" s="364"/>
      <c r="BM80" s="365"/>
      <c r="BN80" s="366"/>
      <c r="BO80" s="364"/>
      <c r="BP80" s="365"/>
      <c r="BQ80" s="366"/>
      <c r="BR80" s="364"/>
      <c r="BS80" s="365"/>
      <c r="BT80" s="366"/>
      <c r="BU80" s="364"/>
      <c r="BV80" s="365"/>
      <c r="BW80" s="367"/>
      <c r="BX80" s="368"/>
      <c r="BZ80" s="364"/>
      <c r="CA80" s="365"/>
      <c r="CB80" s="366"/>
      <c r="CC80" s="364"/>
      <c r="CD80" s="365"/>
      <c r="CE80" s="366"/>
      <c r="CF80" s="364"/>
      <c r="CG80" s="365"/>
      <c r="CH80" s="366"/>
      <c r="CI80" s="364"/>
      <c r="CJ80" s="365"/>
      <c r="CK80" s="367"/>
      <c r="CL80" s="368"/>
    </row>
    <row r="81" spans="2:90" ht="20.25" thickBot="1" x14ac:dyDescent="0.3">
      <c r="B81" s="1177"/>
      <c r="C81" s="1172"/>
      <c r="D81" s="332" t="str">
        <f>+'Plan de Accion 2018'!F153</f>
        <v>Vigilancia judicial</v>
      </c>
      <c r="E81" s="1158"/>
      <c r="F81" s="1161"/>
      <c r="G81" s="335"/>
      <c r="H81" s="776">
        <f>+'Plan de Accion 2018'!AD153</f>
        <v>0</v>
      </c>
      <c r="I81" s="777">
        <f>+'Plan de Accion 2018'!BM153</f>
        <v>0</v>
      </c>
      <c r="J81" s="777">
        <f t="shared" ref="J81:J144" si="21">IF(I81&gt;100%,100%,I81)</f>
        <v>0</v>
      </c>
      <c r="K81" s="777">
        <f>+'Plan de Accion 2018'!AF153</f>
        <v>0</v>
      </c>
      <c r="L81" s="777">
        <f t="shared" ref="L81:L144" si="22">IF(K81&gt;25%,25%,K81)</f>
        <v>0</v>
      </c>
      <c r="M81" s="1391">
        <f t="shared" ref="M81:M144" si="23">+L81</f>
        <v>0</v>
      </c>
      <c r="N81" s="887"/>
      <c r="O81" s="776" t="e">
        <f>+'Plan de Accion 2018'!AK153</f>
        <v>#DIV/0!</v>
      </c>
      <c r="P81" s="777">
        <f>+'Plan de Accion 2018'!BO153</f>
        <v>0</v>
      </c>
      <c r="Q81" s="870">
        <f t="shared" si="13"/>
        <v>0</v>
      </c>
      <c r="R81" s="892">
        <f>+'Plan de Accion 2018'!AP153</f>
        <v>0</v>
      </c>
      <c r="S81" s="892">
        <f t="shared" si="14"/>
        <v>0</v>
      </c>
      <c r="T81" s="878">
        <f t="shared" si="15"/>
        <v>0</v>
      </c>
      <c r="U81" s="336"/>
      <c r="V81" s="776">
        <f>+'Plan de Accion 2018'!AU153</f>
        <v>0</v>
      </c>
      <c r="W81" s="777">
        <f>+'Plan de Accion 2018'!BQ153</f>
        <v>0</v>
      </c>
      <c r="X81" s="870">
        <f t="shared" si="16"/>
        <v>0</v>
      </c>
      <c r="Y81" s="777">
        <f>+'Plan de Accion 2018'!AZ153</f>
        <v>0</v>
      </c>
      <c r="Z81" s="892">
        <f t="shared" si="17"/>
        <v>0</v>
      </c>
      <c r="AA81" s="878">
        <f t="shared" si="20"/>
        <v>0</v>
      </c>
      <c r="AB81" s="336"/>
      <c r="AC81" s="330">
        <f>+'Plan de Accion 2018'!BE153</f>
        <v>0</v>
      </c>
      <c r="AD81" s="331">
        <f>+'Plan de Accion 2018'!BS153</f>
        <v>0</v>
      </c>
      <c r="AE81" s="870">
        <f t="shared" si="18"/>
        <v>0</v>
      </c>
      <c r="AF81" s="777">
        <f>+'Plan de Accion 2018'!BJ153</f>
        <v>0</v>
      </c>
      <c r="AG81" s="878">
        <f t="shared" si="19"/>
        <v>0</v>
      </c>
      <c r="AH81" s="362"/>
      <c r="AI81" s="363"/>
      <c r="AJ81" s="364"/>
      <c r="AK81" s="365"/>
      <c r="AL81" s="366"/>
      <c r="AM81" s="364"/>
      <c r="AN81" s="365"/>
      <c r="AO81" s="366"/>
      <c r="AP81" s="364"/>
      <c r="AQ81" s="365"/>
      <c r="AR81" s="366"/>
      <c r="AS81" s="364"/>
      <c r="AT81" s="365"/>
      <c r="AU81" s="367"/>
      <c r="AV81" s="368"/>
      <c r="AW81" s="367"/>
      <c r="AX81" s="364"/>
      <c r="AY81" s="365"/>
      <c r="AZ81" s="366"/>
      <c r="BA81" s="364"/>
      <c r="BB81" s="365"/>
      <c r="BC81" s="366"/>
      <c r="BD81" s="364"/>
      <c r="BE81" s="365"/>
      <c r="BF81" s="366"/>
      <c r="BG81" s="364"/>
      <c r="BH81" s="365"/>
      <c r="BI81" s="367"/>
      <c r="BJ81" s="368"/>
      <c r="BL81" s="364"/>
      <c r="BM81" s="365"/>
      <c r="BN81" s="366"/>
      <c r="BO81" s="364"/>
      <c r="BP81" s="365"/>
      <c r="BQ81" s="366"/>
      <c r="BR81" s="364"/>
      <c r="BS81" s="365"/>
      <c r="BT81" s="366"/>
      <c r="BU81" s="364"/>
      <c r="BV81" s="365"/>
      <c r="BW81" s="367"/>
      <c r="BX81" s="368"/>
      <c r="BZ81" s="364"/>
      <c r="CA81" s="365"/>
      <c r="CB81" s="366"/>
      <c r="CC81" s="364"/>
      <c r="CD81" s="365"/>
      <c r="CE81" s="366"/>
      <c r="CF81" s="364"/>
      <c r="CG81" s="365"/>
      <c r="CH81" s="366"/>
      <c r="CI81" s="364"/>
      <c r="CJ81" s="365"/>
      <c r="CK81" s="367"/>
      <c r="CL81" s="368"/>
    </row>
    <row r="82" spans="2:90" ht="57.75" thickBot="1" x14ac:dyDescent="0.25">
      <c r="B82" s="1177"/>
      <c r="C82" s="1172"/>
      <c r="D82" s="332" t="str">
        <f>+'Plan de Accion 2018'!F137</f>
        <v>Depuración de Cartera FOSYGA y/o ADRES</v>
      </c>
      <c r="E82" s="1158"/>
      <c r="F82" s="356" t="str">
        <f>+'Plan de Accion 2018'!R138</f>
        <v>Monto de venta de cartera a CISA / Monto de cartera por reclamaciones mayor a 180 días vendida</v>
      </c>
      <c r="G82" s="321"/>
      <c r="H82" s="776">
        <f>+'Plan de Accion 2018'!AA138</f>
        <v>0</v>
      </c>
      <c r="I82" s="777">
        <f>+'Plan de Accion 2018'!BL138</f>
        <v>0</v>
      </c>
      <c r="J82" s="777">
        <f t="shared" si="21"/>
        <v>0</v>
      </c>
      <c r="K82" s="777">
        <f>+'Plan de Accion 2018'!AE138</f>
        <v>0</v>
      </c>
      <c r="L82" s="777">
        <f t="shared" si="22"/>
        <v>0</v>
      </c>
      <c r="M82" s="1391">
        <f t="shared" si="23"/>
        <v>0</v>
      </c>
      <c r="N82" s="883"/>
      <c r="O82" s="923">
        <f>+'Plan de Accion 2018'!AK138</f>
        <v>1.3084302227911048E-2</v>
      </c>
      <c r="P82" s="777">
        <f>+'Plan de Accion 2018'!BN138</f>
        <v>0.65421511139555244</v>
      </c>
      <c r="Q82" s="870">
        <f t="shared" si="13"/>
        <v>0.65421511139555244</v>
      </c>
      <c r="R82" s="892">
        <f>+'Plan de Accion 2018'!AO138</f>
        <v>0.32710755569777622</v>
      </c>
      <c r="S82" s="892">
        <f>IF(R82&gt;50%,50%,R82)</f>
        <v>0.32710755569777622</v>
      </c>
      <c r="T82" s="878">
        <f t="shared" si="15"/>
        <v>0.32710755569777622</v>
      </c>
      <c r="U82" s="324"/>
      <c r="V82" s="776">
        <f>+'Plan de Accion 2018'!AU138</f>
        <v>0</v>
      </c>
      <c r="W82" s="777" t="str">
        <f>+'Plan de Accion 2018'!BP138</f>
        <v>No Prog ni Ejec</v>
      </c>
      <c r="X82" s="870" t="s">
        <v>792</v>
      </c>
      <c r="Y82" s="777">
        <f>+'Plan de Accion 2018'!AY138</f>
        <v>0.32710755569777622</v>
      </c>
      <c r="Z82" s="892">
        <f t="shared" si="17"/>
        <v>0.32710755569777622</v>
      </c>
      <c r="AA82" s="878">
        <f t="shared" si="20"/>
        <v>0.32710755569777622</v>
      </c>
      <c r="AB82" s="324"/>
      <c r="AC82" s="330">
        <f>+'Plan de Accion 2018'!BE138</f>
        <v>0</v>
      </c>
      <c r="AD82" s="331" t="str">
        <f>+'Plan de Accion 2018'!BR138</f>
        <v>No Prog ni Ejec</v>
      </c>
      <c r="AE82" s="870" t="s">
        <v>792</v>
      </c>
      <c r="AF82" s="777">
        <f>+'Plan de Accion 2018'!BI138</f>
        <v>0.32710755569777622</v>
      </c>
      <c r="AG82" s="878">
        <f t="shared" si="19"/>
        <v>0.32710755569777622</v>
      </c>
      <c r="AH82" s="362"/>
      <c r="AI82" s="363"/>
      <c r="AJ82" s="364"/>
      <c r="AK82" s="365"/>
      <c r="AL82" s="366"/>
      <c r="AM82" s="364"/>
      <c r="AN82" s="365"/>
      <c r="AO82" s="366"/>
      <c r="AP82" s="364"/>
      <c r="AQ82" s="365"/>
      <c r="AR82" s="366"/>
      <c r="AS82" s="364"/>
      <c r="AT82" s="365"/>
      <c r="AU82" s="367"/>
      <c r="AV82" s="368"/>
      <c r="AW82" s="367"/>
      <c r="AX82" s="364"/>
      <c r="AY82" s="365"/>
      <c r="AZ82" s="366"/>
      <c r="BA82" s="364"/>
      <c r="BB82" s="365"/>
      <c r="BC82" s="366"/>
      <c r="BD82" s="364"/>
      <c r="BE82" s="365"/>
      <c r="BF82" s="366"/>
      <c r="BG82" s="364"/>
      <c r="BH82" s="365"/>
      <c r="BI82" s="367"/>
      <c r="BJ82" s="368"/>
      <c r="BL82" s="364"/>
      <c r="BM82" s="365"/>
      <c r="BN82" s="366"/>
      <c r="BO82" s="364"/>
      <c r="BP82" s="365"/>
      <c r="BQ82" s="366"/>
      <c r="BR82" s="364"/>
      <c r="BS82" s="365"/>
      <c r="BT82" s="366"/>
      <c r="BU82" s="364"/>
      <c r="BV82" s="365"/>
      <c r="BW82" s="367"/>
      <c r="BX82" s="368"/>
      <c r="BZ82" s="364"/>
      <c r="CA82" s="365"/>
      <c r="CB82" s="366"/>
      <c r="CC82" s="364"/>
      <c r="CD82" s="365"/>
      <c r="CE82" s="366"/>
      <c r="CF82" s="364"/>
      <c r="CG82" s="365"/>
      <c r="CH82" s="366"/>
      <c r="CI82" s="364"/>
      <c r="CJ82" s="365"/>
      <c r="CK82" s="367"/>
      <c r="CL82" s="368"/>
    </row>
    <row r="83" spans="2:90" ht="129" thickBot="1" x14ac:dyDescent="0.3">
      <c r="B83" s="1177"/>
      <c r="C83" s="1172"/>
      <c r="D83" s="332" t="str">
        <f>+'Plan de Accion 2018'!F146</f>
        <v>Proceso inicial de cobro por concepto de accidentes de transito, donde el vehículo involucrando carecía de SOAT</v>
      </c>
      <c r="E83" s="1158"/>
      <c r="F83" s="356" t="str">
        <f>+'Plan de Accion 2018'!R147</f>
        <v>Monto de reclamaciones pagadas por terceros al inicio del proceso de cobro, por concepto de accidentes de tránsito sin SOAT  / Monto de reclamaciones pagadas por la ADRES antes FOSYGA, por concepto de accidentes de tránsito sin SOAT</v>
      </c>
      <c r="G83" s="335"/>
      <c r="H83" s="776" t="str">
        <f>+'Plan de Accion 2018'!AA147</f>
        <v>N.A</v>
      </c>
      <c r="I83" s="777" t="str">
        <f>+'Plan de Accion 2018'!BM146</f>
        <v>No Prog ni Ejec</v>
      </c>
      <c r="J83" s="777" t="s">
        <v>792</v>
      </c>
      <c r="K83" s="777">
        <f>+'Plan de Accion 2018'!AF147</f>
        <v>0</v>
      </c>
      <c r="L83" s="777">
        <f t="shared" si="22"/>
        <v>0</v>
      </c>
      <c r="M83" s="1391" t="s">
        <v>792</v>
      </c>
      <c r="N83" s="887"/>
      <c r="O83" s="776" t="str">
        <f>+'Plan de Accion 2018'!AK147</f>
        <v>N.A</v>
      </c>
      <c r="P83" s="777" t="str">
        <f>+'Plan de Accion 2018'!BO146</f>
        <v>No Prog ni Ejec</v>
      </c>
      <c r="Q83" s="870" t="s">
        <v>792</v>
      </c>
      <c r="R83" s="892">
        <f>+'Plan de Accion 2018'!AP147</f>
        <v>0</v>
      </c>
      <c r="S83" s="892">
        <f t="shared" si="14"/>
        <v>0</v>
      </c>
      <c r="T83" s="878" t="s">
        <v>792</v>
      </c>
      <c r="U83" s="336"/>
      <c r="V83" s="776">
        <f>+'Plan de Accion 2018'!AU147</f>
        <v>0</v>
      </c>
      <c r="W83" s="777" t="str">
        <f>+'Plan de Accion 2018'!BQ146</f>
        <v>No Prog ni Ejec</v>
      </c>
      <c r="X83" s="870" t="s">
        <v>792</v>
      </c>
      <c r="Y83" s="777">
        <f>+'Plan de Accion 2018'!AZ147</f>
        <v>0</v>
      </c>
      <c r="Z83" s="892">
        <f t="shared" si="17"/>
        <v>0</v>
      </c>
      <c r="AA83" s="878">
        <f>+Z83</f>
        <v>0</v>
      </c>
      <c r="AB83" s="336"/>
      <c r="AC83" s="330">
        <f>+'Plan de Accion 2018'!BE147</f>
        <v>0</v>
      </c>
      <c r="AD83" s="331" t="str">
        <f>+'Plan de Accion 2018'!BS146</f>
        <v>No Prog ni Ejec</v>
      </c>
      <c r="AE83" s="870" t="s">
        <v>792</v>
      </c>
      <c r="AF83" s="777">
        <f>+'Plan de Accion 2018'!BJ147</f>
        <v>0</v>
      </c>
      <c r="AG83" s="878">
        <f t="shared" si="19"/>
        <v>0</v>
      </c>
      <c r="AH83" s="362"/>
      <c r="AI83" s="363"/>
      <c r="AJ83" s="364"/>
      <c r="AK83" s="365"/>
      <c r="AL83" s="366"/>
      <c r="AM83" s="364"/>
      <c r="AN83" s="365"/>
      <c r="AO83" s="366"/>
      <c r="AP83" s="364"/>
      <c r="AQ83" s="365"/>
      <c r="AR83" s="366"/>
      <c r="AS83" s="364"/>
      <c r="AT83" s="365"/>
      <c r="AU83" s="367"/>
      <c r="AV83" s="368"/>
      <c r="AW83" s="367"/>
      <c r="AX83" s="364"/>
      <c r="AY83" s="365"/>
      <c r="AZ83" s="366"/>
      <c r="BA83" s="364"/>
      <c r="BB83" s="365"/>
      <c r="BC83" s="366"/>
      <c r="BD83" s="364"/>
      <c r="BE83" s="365"/>
      <c r="BF83" s="366"/>
      <c r="BG83" s="364"/>
      <c r="BH83" s="365"/>
      <c r="BI83" s="367"/>
      <c r="BJ83" s="368"/>
      <c r="BL83" s="364"/>
      <c r="BM83" s="365"/>
      <c r="BN83" s="366"/>
      <c r="BO83" s="364"/>
      <c r="BP83" s="365"/>
      <c r="BQ83" s="366"/>
      <c r="BR83" s="364"/>
      <c r="BS83" s="365"/>
      <c r="BT83" s="366"/>
      <c r="BU83" s="364"/>
      <c r="BV83" s="365"/>
      <c r="BW83" s="367"/>
      <c r="BX83" s="368"/>
      <c r="BZ83" s="364"/>
      <c r="CA83" s="365"/>
      <c r="CB83" s="366"/>
      <c r="CC83" s="364"/>
      <c r="CD83" s="365"/>
      <c r="CE83" s="366"/>
      <c r="CF83" s="364"/>
      <c r="CG83" s="365"/>
      <c r="CH83" s="366"/>
      <c r="CI83" s="364"/>
      <c r="CJ83" s="365"/>
      <c r="CK83" s="367"/>
      <c r="CL83" s="368"/>
    </row>
    <row r="84" spans="2:90" ht="143.25" thickBot="1" x14ac:dyDescent="0.3">
      <c r="B84" s="1177"/>
      <c r="C84" s="1172"/>
      <c r="D84" s="332" t="str">
        <f>+'Plan de Accion 2018'!F148</f>
        <v>Cobro coactivo de cartera por concepto de accidentes de transito, donde el vehículo involucrando carecida de SOAT</v>
      </c>
      <c r="E84" s="1158"/>
      <c r="F84" s="356" t="str">
        <f>+'Plan de Accion 2018'!R149</f>
        <v>Monto de reclamaciones pagadas por terceros en la fase de cobro coactivo, por concepto de accidentes de tránsito sin SOAT  / Monto de reclamaciones pagadas por la ADRES antes FOSYGA, por concepto de accidentes de tránsito sin SOAT, objeto de cobro coactivo</v>
      </c>
      <c r="G84" s="335"/>
      <c r="H84" s="776" t="str">
        <f>+'Plan de Accion 2018'!AA149</f>
        <v>N.A</v>
      </c>
      <c r="I84" s="777" t="str">
        <f>+'Plan de Accion 2018'!BM148</f>
        <v>No Prog ni Ejec</v>
      </c>
      <c r="J84" s="777" t="s">
        <v>792</v>
      </c>
      <c r="K84" s="777">
        <f>+'Plan de Accion 2018'!AF149</f>
        <v>0</v>
      </c>
      <c r="L84" s="777">
        <f t="shared" si="22"/>
        <v>0</v>
      </c>
      <c r="M84" s="1391" t="s">
        <v>792</v>
      </c>
      <c r="N84" s="887"/>
      <c r="O84" s="776" t="str">
        <f>+'Plan de Accion 2018'!AK149</f>
        <v>N.A</v>
      </c>
      <c r="P84" s="777" t="str">
        <f>+'Plan de Accion 2018'!BO148</f>
        <v>No Prog ni Ejec</v>
      </c>
      <c r="Q84" s="870" t="s">
        <v>792</v>
      </c>
      <c r="R84" s="892">
        <f>+'Plan de Accion 2018'!AP149</f>
        <v>0</v>
      </c>
      <c r="S84" s="892">
        <f t="shared" si="14"/>
        <v>0</v>
      </c>
      <c r="T84" s="878" t="s">
        <v>792</v>
      </c>
      <c r="U84" s="336"/>
      <c r="V84" s="776">
        <f>+'Plan de Accion 2018'!AU149</f>
        <v>0</v>
      </c>
      <c r="W84" s="777" t="str">
        <f>+'Plan de Accion 2018'!BQ148</f>
        <v>No Prog ni Ejec</v>
      </c>
      <c r="X84" s="870" t="s">
        <v>792</v>
      </c>
      <c r="Y84" s="777">
        <f>+'Plan de Accion 2018'!AZ149</f>
        <v>0</v>
      </c>
      <c r="Z84" s="892">
        <f t="shared" si="17"/>
        <v>0</v>
      </c>
      <c r="AA84" s="878">
        <f>+Z84</f>
        <v>0</v>
      </c>
      <c r="AB84" s="336"/>
      <c r="AC84" s="330">
        <f>+'Plan de Accion 2018'!BE149</f>
        <v>0</v>
      </c>
      <c r="AD84" s="331" t="str">
        <f>+'Plan de Accion 2018'!BS148</f>
        <v>No Prog ni Ejec</v>
      </c>
      <c r="AE84" s="870" t="s">
        <v>792</v>
      </c>
      <c r="AF84" s="777">
        <f>+'Plan de Accion 2018'!BJ149</f>
        <v>0</v>
      </c>
      <c r="AG84" s="878">
        <f t="shared" si="19"/>
        <v>0</v>
      </c>
      <c r="AH84" s="362"/>
      <c r="AI84" s="363"/>
      <c r="AJ84" s="364"/>
      <c r="AK84" s="365"/>
      <c r="AL84" s="366"/>
      <c r="AM84" s="364"/>
      <c r="AN84" s="365"/>
      <c r="AO84" s="366"/>
      <c r="AP84" s="364"/>
      <c r="AQ84" s="365"/>
      <c r="AR84" s="366"/>
      <c r="AS84" s="364"/>
      <c r="AT84" s="365"/>
      <c r="AU84" s="367"/>
      <c r="AV84" s="368"/>
      <c r="AW84" s="367"/>
      <c r="AX84" s="364"/>
      <c r="AY84" s="365"/>
      <c r="AZ84" s="366"/>
      <c r="BA84" s="364"/>
      <c r="BB84" s="365"/>
      <c r="BC84" s="366"/>
      <c r="BD84" s="364"/>
      <c r="BE84" s="365"/>
      <c r="BF84" s="366"/>
      <c r="BG84" s="364"/>
      <c r="BH84" s="365"/>
      <c r="BI84" s="367"/>
      <c r="BJ84" s="368"/>
      <c r="BL84" s="364"/>
      <c r="BM84" s="365"/>
      <c r="BN84" s="366"/>
      <c r="BO84" s="364"/>
      <c r="BP84" s="365"/>
      <c r="BQ84" s="366"/>
      <c r="BR84" s="364"/>
      <c r="BS84" s="365"/>
      <c r="BT84" s="366"/>
      <c r="BU84" s="364"/>
      <c r="BV84" s="365"/>
      <c r="BW84" s="367"/>
      <c r="BX84" s="368"/>
      <c r="BZ84" s="364"/>
      <c r="CA84" s="365"/>
      <c r="CB84" s="366"/>
      <c r="CC84" s="364"/>
      <c r="CD84" s="365"/>
      <c r="CE84" s="366"/>
      <c r="CF84" s="364"/>
      <c r="CG84" s="365"/>
      <c r="CH84" s="366"/>
      <c r="CI84" s="364"/>
      <c r="CJ84" s="365"/>
      <c r="CK84" s="367"/>
      <c r="CL84" s="368"/>
    </row>
    <row r="85" spans="2:90" ht="43.5" thickBot="1" x14ac:dyDescent="0.3">
      <c r="B85" s="1177"/>
      <c r="C85" s="1172"/>
      <c r="D85" s="332" t="str">
        <f>+'Plan de Accion 2018'!F125</f>
        <v xml:space="preserve">Informes de respuestas a las acciones constitucionales  y de  tutelas </v>
      </c>
      <c r="E85" s="1158"/>
      <c r="F85" s="1187" t="s">
        <v>815</v>
      </c>
      <c r="G85" s="335"/>
      <c r="H85" s="776">
        <f>+'Plan de Accion 2018'!AD125</f>
        <v>0.59928879563839732</v>
      </c>
      <c r="I85" s="777">
        <f>+'Plan de Accion 2018'!BM125</f>
        <v>0.59928879563839732</v>
      </c>
      <c r="J85" s="777">
        <f t="shared" si="21"/>
        <v>0.59928879563839732</v>
      </c>
      <c r="K85" s="777">
        <f>+'Plan de Accion 2018'!AF125</f>
        <v>0.14982219890959933</v>
      </c>
      <c r="L85" s="777">
        <f t="shared" si="22"/>
        <v>0.14982219890959933</v>
      </c>
      <c r="M85" s="1391">
        <f t="shared" si="23"/>
        <v>0.14982219890959933</v>
      </c>
      <c r="N85" s="883"/>
      <c r="O85" s="776">
        <f>+'Plan de Accion 2018'!AN125</f>
        <v>0.93250187633391379</v>
      </c>
      <c r="P85" s="777">
        <f>+'Plan de Accion 2018'!BO125</f>
        <v>0.93250187633391379</v>
      </c>
      <c r="Q85" s="870">
        <f t="shared" si="13"/>
        <v>0.93250187633391379</v>
      </c>
      <c r="R85" s="892">
        <f>+'Plan de Accion 2018'!AP125</f>
        <v>0.38294766799307778</v>
      </c>
      <c r="S85" s="892">
        <f t="shared" si="14"/>
        <v>0.38294766799307778</v>
      </c>
      <c r="T85" s="878">
        <f t="shared" si="15"/>
        <v>0.38294766799307778</v>
      </c>
      <c r="U85" s="324"/>
      <c r="V85" s="776">
        <f>+'Plan de Accion 2018'!AX125</f>
        <v>0</v>
      </c>
      <c r="W85" s="777">
        <f>+'Plan de Accion 2018'!BQ125</f>
        <v>0</v>
      </c>
      <c r="X85" s="870">
        <f t="shared" si="16"/>
        <v>0</v>
      </c>
      <c r="Y85" s="777">
        <f>+'Plan de Accion 2018'!AZ125</f>
        <v>0.38294766799307778</v>
      </c>
      <c r="Z85" s="892">
        <f t="shared" si="17"/>
        <v>0.38294766799307778</v>
      </c>
      <c r="AA85" s="878">
        <f t="shared" si="20"/>
        <v>0.38294766799307778</v>
      </c>
      <c r="AB85" s="324"/>
      <c r="AC85" s="330">
        <f>+'Plan de Accion 2018'!BH125</f>
        <v>0</v>
      </c>
      <c r="AD85" s="331">
        <f>+'Plan de Accion 2018'!BS125</f>
        <v>0</v>
      </c>
      <c r="AE85" s="870">
        <f t="shared" si="18"/>
        <v>0</v>
      </c>
      <c r="AF85" s="777">
        <f>+'Plan de Accion 2018'!BJ125</f>
        <v>0.38294766799307778</v>
      </c>
      <c r="AG85" s="878">
        <f t="shared" si="19"/>
        <v>0.38294766799307778</v>
      </c>
      <c r="AH85" s="362"/>
      <c r="AI85" s="363"/>
      <c r="AJ85" s="364"/>
      <c r="AK85" s="365"/>
      <c r="AL85" s="366"/>
      <c r="AM85" s="364"/>
      <c r="AN85" s="365"/>
      <c r="AO85" s="366"/>
      <c r="AP85" s="364"/>
      <c r="AQ85" s="365"/>
      <c r="AR85" s="366"/>
      <c r="AS85" s="364"/>
      <c r="AT85" s="365"/>
      <c r="AU85" s="367"/>
      <c r="AV85" s="368"/>
      <c r="AW85" s="367"/>
      <c r="AX85" s="364"/>
      <c r="AY85" s="365"/>
      <c r="AZ85" s="366"/>
      <c r="BA85" s="364"/>
      <c r="BB85" s="365"/>
      <c r="BC85" s="366"/>
      <c r="BD85" s="364"/>
      <c r="BE85" s="365"/>
      <c r="BF85" s="366"/>
      <c r="BG85" s="364"/>
      <c r="BH85" s="365"/>
      <c r="BI85" s="367"/>
      <c r="BJ85" s="368"/>
      <c r="BL85" s="364"/>
      <c r="BM85" s="365"/>
      <c r="BN85" s="366"/>
      <c r="BO85" s="364"/>
      <c r="BP85" s="365"/>
      <c r="BQ85" s="366"/>
      <c r="BR85" s="364"/>
      <c r="BS85" s="365"/>
      <c r="BT85" s="366"/>
      <c r="BU85" s="364"/>
      <c r="BV85" s="365"/>
      <c r="BW85" s="367"/>
      <c r="BX85" s="368"/>
      <c r="BZ85" s="364"/>
      <c r="CA85" s="365"/>
      <c r="CB85" s="366"/>
      <c r="CC85" s="364"/>
      <c r="CD85" s="365"/>
      <c r="CE85" s="366"/>
      <c r="CF85" s="364"/>
      <c r="CG85" s="365"/>
      <c r="CH85" s="366"/>
      <c r="CI85" s="364"/>
      <c r="CJ85" s="365"/>
      <c r="CK85" s="367"/>
      <c r="CL85" s="368"/>
    </row>
    <row r="86" spans="2:90" ht="29.25" thickBot="1" x14ac:dyDescent="0.3">
      <c r="B86" s="1177"/>
      <c r="C86" s="1172"/>
      <c r="D86" s="332" t="str">
        <f>+'Plan de Accion 2018'!F126</f>
        <v>Representación  judicial - Demandas Laborales</v>
      </c>
      <c r="E86" s="1158"/>
      <c r="F86" s="1189"/>
      <c r="G86" s="335"/>
      <c r="H86" s="1098">
        <f>+'Plan de Accion 2018'!AD126</f>
        <v>0.40221286497577247</v>
      </c>
      <c r="I86" s="1388">
        <f>+'Plan de Accion 2018'!BM126</f>
        <v>0.40221286497577247</v>
      </c>
      <c r="J86" s="777">
        <f t="shared" si="21"/>
        <v>0.40221286497577247</v>
      </c>
      <c r="K86" s="1389">
        <f>+'Plan de Accion 2018'!AF126</f>
        <v>0.10055321624394312</v>
      </c>
      <c r="L86" s="777">
        <f t="shared" si="22"/>
        <v>0.10055321624394312</v>
      </c>
      <c r="M86" s="1391">
        <f t="shared" si="23"/>
        <v>0.10055321624394312</v>
      </c>
      <c r="N86" s="1407"/>
      <c r="O86" s="1095">
        <f>+'Plan de Accion 2018'!AN126</f>
        <v>0.81711305000937706</v>
      </c>
      <c r="P86" s="1083">
        <f>+'Plan de Accion 2018'!BO126</f>
        <v>0.81711305000937706</v>
      </c>
      <c r="Q86" s="1080">
        <f t="shared" si="13"/>
        <v>0.81711305000937706</v>
      </c>
      <c r="R86" s="1080">
        <f>+'Plan de Accion 2018'!AP126</f>
        <v>0.30483147874628735</v>
      </c>
      <c r="S86" s="1080">
        <f t="shared" si="14"/>
        <v>0.30483147874628735</v>
      </c>
      <c r="T86" s="1092">
        <f t="shared" si="15"/>
        <v>0.30483147874628735</v>
      </c>
      <c r="U86" s="370"/>
      <c r="V86" s="1095">
        <f>+'Plan de Accion 2018'!AX126</f>
        <v>0</v>
      </c>
      <c r="W86" s="1083">
        <f>+'Plan de Accion 2018'!BQ126</f>
        <v>0</v>
      </c>
      <c r="X86" s="1080">
        <f t="shared" si="16"/>
        <v>0</v>
      </c>
      <c r="Y86" s="1083">
        <f>+'Plan de Accion 2018'!AZ126</f>
        <v>0.30483147874628735</v>
      </c>
      <c r="Z86" s="1080">
        <f t="shared" si="17"/>
        <v>0.30483147874628735</v>
      </c>
      <c r="AA86" s="1092">
        <f t="shared" si="20"/>
        <v>0.30483147874628735</v>
      </c>
      <c r="AB86" s="370"/>
      <c r="AC86" s="1095">
        <f>+'Plan de Accion 2018'!BH126</f>
        <v>0</v>
      </c>
      <c r="AD86" s="1083">
        <f>+'Plan de Accion 2018'!BS126</f>
        <v>0</v>
      </c>
      <c r="AE86" s="1080">
        <f t="shared" si="18"/>
        <v>0</v>
      </c>
      <c r="AF86" s="1083">
        <f>+'Plan de Accion 2018'!BJ126</f>
        <v>0.30483147874628735</v>
      </c>
      <c r="AG86" s="1092">
        <f t="shared" si="19"/>
        <v>0.30483147874628735</v>
      </c>
      <c r="AH86" s="362"/>
      <c r="AI86" s="363"/>
      <c r="AJ86" s="364"/>
      <c r="AK86" s="365"/>
      <c r="AL86" s="366"/>
      <c r="AM86" s="364"/>
      <c r="AN86" s="365"/>
      <c r="AO86" s="366"/>
      <c r="AP86" s="364"/>
      <c r="AQ86" s="365"/>
      <c r="AR86" s="366"/>
      <c r="AS86" s="364"/>
      <c r="AT86" s="365"/>
      <c r="AU86" s="367"/>
      <c r="AV86" s="368"/>
      <c r="AW86" s="367"/>
      <c r="AX86" s="364"/>
      <c r="AY86" s="365"/>
      <c r="AZ86" s="366"/>
      <c r="BA86" s="364"/>
      <c r="BB86" s="365"/>
      <c r="BC86" s="366"/>
      <c r="BD86" s="364"/>
      <c r="BE86" s="365"/>
      <c r="BF86" s="366"/>
      <c r="BG86" s="364"/>
      <c r="BH86" s="365"/>
      <c r="BI86" s="367"/>
      <c r="BJ86" s="368"/>
      <c r="BL86" s="364"/>
      <c r="BM86" s="365"/>
      <c r="BN86" s="366"/>
      <c r="BO86" s="364"/>
      <c r="BP86" s="365"/>
      <c r="BQ86" s="366"/>
      <c r="BR86" s="364"/>
      <c r="BS86" s="365"/>
      <c r="BT86" s="366"/>
      <c r="BU86" s="364"/>
      <c r="BV86" s="365"/>
      <c r="BW86" s="367"/>
      <c r="BX86" s="368"/>
      <c r="BZ86" s="364"/>
      <c r="CA86" s="365"/>
      <c r="CB86" s="366"/>
      <c r="CC86" s="364"/>
      <c r="CD86" s="365"/>
      <c r="CE86" s="366"/>
      <c r="CF86" s="364"/>
      <c r="CG86" s="365"/>
      <c r="CH86" s="366"/>
      <c r="CI86" s="364"/>
      <c r="CJ86" s="365"/>
      <c r="CK86" s="367"/>
      <c r="CL86" s="368"/>
    </row>
    <row r="87" spans="2:90" ht="29.25" thickBot="1" x14ac:dyDescent="0.3">
      <c r="B87" s="1177"/>
      <c r="C87" s="1172"/>
      <c r="D87" s="332" t="str">
        <f>+'Plan de Accion 2018'!F127</f>
        <v>Representación  judicial - Procesos Administrativos</v>
      </c>
      <c r="E87" s="1158"/>
      <c r="F87" s="1189"/>
      <c r="G87" s="335"/>
      <c r="H87" s="1098"/>
      <c r="I87" s="1388"/>
      <c r="J87" s="777">
        <f t="shared" si="21"/>
        <v>0</v>
      </c>
      <c r="K87" s="1389"/>
      <c r="L87" s="777">
        <f t="shared" si="22"/>
        <v>0</v>
      </c>
      <c r="M87" s="1391">
        <f t="shared" si="23"/>
        <v>0</v>
      </c>
      <c r="N87" s="1408"/>
      <c r="O87" s="1096"/>
      <c r="P87" s="1084"/>
      <c r="Q87" s="1081"/>
      <c r="R87" s="1081"/>
      <c r="S87" s="1081"/>
      <c r="T87" s="1093"/>
      <c r="U87" s="371"/>
      <c r="V87" s="1096"/>
      <c r="W87" s="1084"/>
      <c r="X87" s="1081"/>
      <c r="Y87" s="1084"/>
      <c r="Z87" s="1081"/>
      <c r="AA87" s="1093"/>
      <c r="AB87" s="371"/>
      <c r="AC87" s="1096"/>
      <c r="AD87" s="1084"/>
      <c r="AE87" s="1081"/>
      <c r="AF87" s="1084"/>
      <c r="AG87" s="1093"/>
      <c r="AH87" s="362"/>
      <c r="AI87" s="363"/>
      <c r="AJ87" s="364"/>
      <c r="AK87" s="365"/>
      <c r="AL87" s="366"/>
      <c r="AM87" s="364"/>
      <c r="AN87" s="365"/>
      <c r="AO87" s="366"/>
      <c r="AP87" s="364"/>
      <c r="AQ87" s="365"/>
      <c r="AR87" s="366"/>
      <c r="AS87" s="364"/>
      <c r="AT87" s="365"/>
      <c r="AU87" s="367"/>
      <c r="AV87" s="368"/>
      <c r="AW87" s="367"/>
      <c r="AX87" s="364"/>
      <c r="AY87" s="365"/>
      <c r="AZ87" s="366"/>
      <c r="BA87" s="364"/>
      <c r="BB87" s="365"/>
      <c r="BC87" s="366"/>
      <c r="BD87" s="364"/>
      <c r="BE87" s="365"/>
      <c r="BF87" s="366"/>
      <c r="BG87" s="364"/>
      <c r="BH87" s="365"/>
      <c r="BI87" s="367"/>
      <c r="BJ87" s="368"/>
      <c r="BL87" s="364"/>
      <c r="BM87" s="365"/>
      <c r="BN87" s="366"/>
      <c r="BO87" s="364"/>
      <c r="BP87" s="365"/>
      <c r="BQ87" s="366"/>
      <c r="BR87" s="364"/>
      <c r="BS87" s="365"/>
      <c r="BT87" s="366"/>
      <c r="BU87" s="364"/>
      <c r="BV87" s="365"/>
      <c r="BW87" s="367"/>
      <c r="BX87" s="368"/>
      <c r="BZ87" s="364"/>
      <c r="CA87" s="365"/>
      <c r="CB87" s="366"/>
      <c r="CC87" s="364"/>
      <c r="CD87" s="365"/>
      <c r="CE87" s="366"/>
      <c r="CF87" s="364"/>
      <c r="CG87" s="365"/>
      <c r="CH87" s="366"/>
      <c r="CI87" s="364"/>
      <c r="CJ87" s="365"/>
      <c r="CK87" s="367"/>
      <c r="CL87" s="368"/>
    </row>
    <row r="88" spans="2:90" ht="29.25" thickBot="1" x14ac:dyDescent="0.3">
      <c r="B88" s="1177"/>
      <c r="C88" s="1172"/>
      <c r="D88" s="332" t="str">
        <f>+'Plan de Accion 2018'!F128</f>
        <v>Respuesta y trámite de pruebas atendidas</v>
      </c>
      <c r="E88" s="1158"/>
      <c r="F88" s="1189"/>
      <c r="G88" s="335"/>
      <c r="H88" s="1098"/>
      <c r="I88" s="1388"/>
      <c r="J88" s="777">
        <f t="shared" si="21"/>
        <v>0</v>
      </c>
      <c r="K88" s="1389"/>
      <c r="L88" s="777">
        <f t="shared" si="22"/>
        <v>0</v>
      </c>
      <c r="M88" s="1391">
        <f t="shared" si="23"/>
        <v>0</v>
      </c>
      <c r="N88" s="1408"/>
      <c r="O88" s="1096"/>
      <c r="P88" s="1084"/>
      <c r="Q88" s="1081"/>
      <c r="R88" s="1081"/>
      <c r="S88" s="1081"/>
      <c r="T88" s="1093"/>
      <c r="U88" s="371"/>
      <c r="V88" s="1096"/>
      <c r="W88" s="1084"/>
      <c r="X88" s="1081"/>
      <c r="Y88" s="1084"/>
      <c r="Z88" s="1081"/>
      <c r="AA88" s="1093"/>
      <c r="AB88" s="371"/>
      <c r="AC88" s="1096"/>
      <c r="AD88" s="1084"/>
      <c r="AE88" s="1081"/>
      <c r="AF88" s="1084"/>
      <c r="AG88" s="1093"/>
      <c r="AH88" s="362"/>
      <c r="AI88" s="363"/>
      <c r="AJ88" s="364"/>
      <c r="AK88" s="365"/>
      <c r="AL88" s="366"/>
      <c r="AM88" s="364"/>
      <c r="AN88" s="365"/>
      <c r="AO88" s="366"/>
      <c r="AP88" s="364"/>
      <c r="AQ88" s="365"/>
      <c r="AR88" s="366"/>
      <c r="AS88" s="364"/>
      <c r="AT88" s="365"/>
      <c r="AU88" s="367"/>
      <c r="AV88" s="368"/>
      <c r="AW88" s="367"/>
      <c r="AX88" s="364"/>
      <c r="AY88" s="365"/>
      <c r="AZ88" s="366"/>
      <c r="BA88" s="364"/>
      <c r="BB88" s="365"/>
      <c r="BC88" s="366"/>
      <c r="BD88" s="364"/>
      <c r="BE88" s="365"/>
      <c r="BF88" s="366"/>
      <c r="BG88" s="364"/>
      <c r="BH88" s="365"/>
      <c r="BI88" s="367"/>
      <c r="BJ88" s="368"/>
      <c r="BL88" s="364"/>
      <c r="BM88" s="365"/>
      <c r="BN88" s="366"/>
      <c r="BO88" s="364"/>
      <c r="BP88" s="365"/>
      <c r="BQ88" s="366"/>
      <c r="BR88" s="364"/>
      <c r="BS88" s="365"/>
      <c r="BT88" s="366"/>
      <c r="BU88" s="364"/>
      <c r="BV88" s="365"/>
      <c r="BW88" s="367"/>
      <c r="BX88" s="368"/>
      <c r="BZ88" s="364"/>
      <c r="CA88" s="365"/>
      <c r="CB88" s="366"/>
      <c r="CC88" s="364"/>
      <c r="CD88" s="365"/>
      <c r="CE88" s="366"/>
      <c r="CF88" s="364"/>
      <c r="CG88" s="365"/>
      <c r="CH88" s="366"/>
      <c r="CI88" s="364"/>
      <c r="CJ88" s="365"/>
      <c r="CK88" s="367"/>
      <c r="CL88" s="368"/>
    </row>
    <row r="89" spans="2:90" ht="21" customHeight="1" thickBot="1" x14ac:dyDescent="0.3">
      <c r="B89" s="1177"/>
      <c r="C89" s="1172"/>
      <c r="D89" s="332" t="str">
        <f>+'Plan de Accion 2018'!F129</f>
        <v>Conciliaciones Prejudiciales y judiciales</v>
      </c>
      <c r="E89" s="1158"/>
      <c r="F89" s="1189"/>
      <c r="G89" s="335"/>
      <c r="H89" s="1098"/>
      <c r="I89" s="1388"/>
      <c r="J89" s="777">
        <f t="shared" si="21"/>
        <v>0</v>
      </c>
      <c r="K89" s="1389"/>
      <c r="L89" s="777">
        <f t="shared" si="22"/>
        <v>0</v>
      </c>
      <c r="M89" s="1391">
        <f t="shared" si="23"/>
        <v>0</v>
      </c>
      <c r="N89" s="1408"/>
      <c r="O89" s="1097"/>
      <c r="P89" s="1085"/>
      <c r="Q89" s="1082"/>
      <c r="R89" s="1082"/>
      <c r="S89" s="1082"/>
      <c r="T89" s="1094"/>
      <c r="U89" s="371"/>
      <c r="V89" s="1097"/>
      <c r="W89" s="1085"/>
      <c r="X89" s="1082"/>
      <c r="Y89" s="1085"/>
      <c r="Z89" s="1082"/>
      <c r="AA89" s="1094"/>
      <c r="AB89" s="371"/>
      <c r="AC89" s="1097"/>
      <c r="AD89" s="1085"/>
      <c r="AE89" s="1082"/>
      <c r="AF89" s="1085"/>
      <c r="AG89" s="1094"/>
      <c r="AH89" s="362"/>
      <c r="AI89" s="363"/>
      <c r="AJ89" s="364"/>
      <c r="AK89" s="365"/>
      <c r="AL89" s="366"/>
      <c r="AM89" s="364"/>
      <c r="AN89" s="365"/>
      <c r="AO89" s="366"/>
      <c r="AP89" s="364"/>
      <c r="AQ89" s="365"/>
      <c r="AR89" s="366"/>
      <c r="AS89" s="364"/>
      <c r="AT89" s="365"/>
      <c r="AU89" s="367"/>
      <c r="AV89" s="368"/>
      <c r="AW89" s="367"/>
      <c r="AX89" s="364"/>
      <c r="AY89" s="365"/>
      <c r="AZ89" s="366"/>
      <c r="BA89" s="364"/>
      <c r="BB89" s="365"/>
      <c r="BC89" s="366"/>
      <c r="BD89" s="364"/>
      <c r="BE89" s="365"/>
      <c r="BF89" s="366"/>
      <c r="BG89" s="364"/>
      <c r="BH89" s="365"/>
      <c r="BI89" s="367"/>
      <c r="BJ89" s="368"/>
      <c r="BL89" s="364"/>
      <c r="BM89" s="365"/>
      <c r="BN89" s="366"/>
      <c r="BO89" s="364"/>
      <c r="BP89" s="365"/>
      <c r="BQ89" s="366"/>
      <c r="BR89" s="364"/>
      <c r="BS89" s="365"/>
      <c r="BT89" s="366"/>
      <c r="BU89" s="364"/>
      <c r="BV89" s="365"/>
      <c r="BW89" s="367"/>
      <c r="BX89" s="368"/>
      <c r="BZ89" s="364"/>
      <c r="CA89" s="365"/>
      <c r="CB89" s="366"/>
      <c r="CC89" s="364"/>
      <c r="CD89" s="365"/>
      <c r="CE89" s="366"/>
      <c r="CF89" s="364"/>
      <c r="CG89" s="365"/>
      <c r="CH89" s="366"/>
      <c r="CI89" s="364"/>
      <c r="CJ89" s="365"/>
      <c r="CK89" s="367"/>
      <c r="CL89" s="368"/>
    </row>
    <row r="90" spans="2:90" ht="21" customHeight="1" thickBot="1" x14ac:dyDescent="0.3">
      <c r="B90" s="1177"/>
      <c r="C90" s="1172"/>
      <c r="D90" s="423" t="str">
        <f>+'Plan de Accion 2018'!F131</f>
        <v>Comité de conciliación realizado</v>
      </c>
      <c r="E90" s="1158"/>
      <c r="F90" s="1189"/>
      <c r="G90" s="335"/>
      <c r="H90" s="776">
        <f>+'Plan de Accion 2018'!AD131</f>
        <v>0.41111113869824301</v>
      </c>
      <c r="I90" s="777">
        <f>+'Plan de Accion 2018'!BM131</f>
        <v>0.41111113869824301</v>
      </c>
      <c r="J90" s="777">
        <f t="shared" si="21"/>
        <v>0.41111113869824301</v>
      </c>
      <c r="K90" s="777">
        <f>+'Plan de Accion 2018'!AF131</f>
        <v>0.10277778467456075</v>
      </c>
      <c r="L90" s="777">
        <f t="shared" si="22"/>
        <v>0.10277778467456075</v>
      </c>
      <c r="M90" s="1391">
        <f t="shared" si="23"/>
        <v>0.10277778467456075</v>
      </c>
      <c r="N90" s="1408"/>
      <c r="O90" s="776">
        <f>+'Plan de Accion 2018'!AN131</f>
        <v>1</v>
      </c>
      <c r="P90" s="777">
        <f>+'Plan de Accion 2018'!BO131</f>
        <v>1</v>
      </c>
      <c r="Q90" s="870">
        <f t="shared" si="13"/>
        <v>1</v>
      </c>
      <c r="R90" s="892">
        <f>+'Plan de Accion 2018'!AP131</f>
        <v>0.35277778467456072</v>
      </c>
      <c r="S90" s="892">
        <f t="shared" si="14"/>
        <v>0.35277778467456072</v>
      </c>
      <c r="T90" s="878">
        <f t="shared" si="15"/>
        <v>0.35277778467456072</v>
      </c>
      <c r="U90" s="371"/>
      <c r="V90" s="776">
        <f>+'Plan de Accion 2018'!AX131</f>
        <v>0</v>
      </c>
      <c r="W90" s="777">
        <f>+'Plan de Accion 2018'!BQ131</f>
        <v>0</v>
      </c>
      <c r="X90" s="870">
        <f t="shared" si="16"/>
        <v>0</v>
      </c>
      <c r="Y90" s="777">
        <f>+'Plan de Accion 2018'!AZ131</f>
        <v>0.35277778467456072</v>
      </c>
      <c r="Z90" s="892">
        <f t="shared" si="17"/>
        <v>0.35277778467456072</v>
      </c>
      <c r="AA90" s="878">
        <f t="shared" si="20"/>
        <v>0.35277778467456072</v>
      </c>
      <c r="AB90" s="371"/>
      <c r="AC90" s="330">
        <f>+'Plan de Accion 2018'!BH131</f>
        <v>0</v>
      </c>
      <c r="AD90" s="331">
        <f>+'Plan de Accion 2018'!BS131</f>
        <v>0</v>
      </c>
      <c r="AE90" s="870">
        <f t="shared" si="18"/>
        <v>0</v>
      </c>
      <c r="AF90" s="777">
        <f>+'Plan de Accion 2018'!BJ131</f>
        <v>0.35277778467456072</v>
      </c>
      <c r="AG90" s="878">
        <f t="shared" si="19"/>
        <v>0.35277778467456072</v>
      </c>
      <c r="AH90" s="362"/>
      <c r="AI90" s="363"/>
      <c r="AJ90" s="364"/>
      <c r="AK90" s="365"/>
      <c r="AL90" s="366"/>
      <c r="AM90" s="364"/>
      <c r="AN90" s="365"/>
      <c r="AO90" s="366"/>
      <c r="AP90" s="364"/>
      <c r="AQ90" s="365"/>
      <c r="AR90" s="366"/>
      <c r="AS90" s="364"/>
      <c r="AT90" s="365"/>
      <c r="AU90" s="367"/>
      <c r="AV90" s="368"/>
      <c r="AW90" s="367"/>
      <c r="AX90" s="364"/>
      <c r="AY90" s="365"/>
      <c r="AZ90" s="366"/>
      <c r="BA90" s="364"/>
      <c r="BB90" s="365"/>
      <c r="BC90" s="366"/>
      <c r="BD90" s="364"/>
      <c r="BE90" s="365"/>
      <c r="BF90" s="366"/>
      <c r="BG90" s="364"/>
      <c r="BH90" s="365"/>
      <c r="BI90" s="367"/>
      <c r="BJ90" s="368"/>
      <c r="BL90" s="364"/>
      <c r="BM90" s="365"/>
      <c r="BN90" s="366"/>
      <c r="BO90" s="364"/>
      <c r="BP90" s="365"/>
      <c r="BQ90" s="366"/>
      <c r="BR90" s="364"/>
      <c r="BS90" s="365"/>
      <c r="BT90" s="366"/>
      <c r="BU90" s="364"/>
      <c r="BV90" s="365"/>
      <c r="BW90" s="367"/>
      <c r="BX90" s="368"/>
      <c r="BZ90" s="364"/>
      <c r="CA90" s="365"/>
      <c r="CB90" s="366"/>
      <c r="CC90" s="364"/>
      <c r="CD90" s="365"/>
      <c r="CE90" s="366"/>
      <c r="CF90" s="364"/>
      <c r="CG90" s="365"/>
      <c r="CH90" s="366"/>
      <c r="CI90" s="364"/>
      <c r="CJ90" s="365"/>
      <c r="CK90" s="367"/>
      <c r="CL90" s="368"/>
    </row>
    <row r="91" spans="2:90" ht="29.25" thickBot="1" x14ac:dyDescent="0.3">
      <c r="B91" s="1177"/>
      <c r="C91" s="1172"/>
      <c r="D91" s="332" t="str">
        <f>+'Plan de Accion 2018'!F132</f>
        <v xml:space="preserve">Atender las reclamaciones administrativas </v>
      </c>
      <c r="E91" s="1158"/>
      <c r="F91" s="1189"/>
      <c r="G91" s="335"/>
      <c r="H91" s="1098">
        <f>+'Plan de Accion 2018'!AD132</f>
        <v>0.22098528400763109</v>
      </c>
      <c r="I91" s="1388">
        <f>+'Plan de Accion 2018'!BM132</f>
        <v>0.22098528400763109</v>
      </c>
      <c r="J91" s="777">
        <f t="shared" si="21"/>
        <v>0.22098528400763109</v>
      </c>
      <c r="K91" s="1389">
        <f>+'Plan de Accion 2018'!AF132</f>
        <v>5.5246321001907774E-2</v>
      </c>
      <c r="L91" s="777">
        <f t="shared" si="22"/>
        <v>5.5246321001907774E-2</v>
      </c>
      <c r="M91" s="1391">
        <f t="shared" si="23"/>
        <v>5.5246321001907774E-2</v>
      </c>
      <c r="N91" s="1407"/>
      <c r="O91" s="1095">
        <f>+'Plan de Accion 2018'!AN132</f>
        <v>0.32405624377353331</v>
      </c>
      <c r="P91" s="1083">
        <f>+'Plan de Accion 2018'!BO132</f>
        <v>0.32405624377353331</v>
      </c>
      <c r="Q91" s="1080">
        <f t="shared" si="13"/>
        <v>0.32405624377353331</v>
      </c>
      <c r="R91" s="1080">
        <f>+'Plan de Accion 2018'!AP132</f>
        <v>0.13626038194529111</v>
      </c>
      <c r="S91" s="1080">
        <f t="shared" si="14"/>
        <v>0.13626038194529111</v>
      </c>
      <c r="T91" s="1092">
        <f t="shared" si="15"/>
        <v>0.13626038194529111</v>
      </c>
      <c r="U91" s="370"/>
      <c r="V91" s="1095">
        <f>+'Plan de Accion 2018'!AX132</f>
        <v>0</v>
      </c>
      <c r="W91" s="1083">
        <f>+'Plan de Accion 2018'!BQ132</f>
        <v>0</v>
      </c>
      <c r="X91" s="1080">
        <f t="shared" si="16"/>
        <v>0</v>
      </c>
      <c r="Y91" s="1083">
        <f>+'Plan de Accion 2018'!AZ132</f>
        <v>0.13626038194529111</v>
      </c>
      <c r="Z91" s="1080">
        <f t="shared" si="17"/>
        <v>0.13626038194529111</v>
      </c>
      <c r="AA91" s="1092">
        <f t="shared" si="20"/>
        <v>0.13626038194529111</v>
      </c>
      <c r="AB91" s="370"/>
      <c r="AC91" s="1095">
        <f>+'Plan de Accion 2018'!BH132</f>
        <v>0</v>
      </c>
      <c r="AD91" s="1083">
        <f>+'Plan de Accion 2018'!BS132</f>
        <v>0</v>
      </c>
      <c r="AE91" s="1080">
        <f t="shared" si="18"/>
        <v>0</v>
      </c>
      <c r="AF91" s="1083">
        <f>+'Plan de Accion 2018'!BJ132</f>
        <v>0.13626038194529111</v>
      </c>
      <c r="AG91" s="1092">
        <f t="shared" si="19"/>
        <v>0.13626038194529111</v>
      </c>
      <c r="AH91" s="362"/>
      <c r="AI91" s="363"/>
      <c r="AJ91" s="364"/>
      <c r="AK91" s="365"/>
      <c r="AL91" s="366"/>
      <c r="AM91" s="364"/>
      <c r="AN91" s="365"/>
      <c r="AO91" s="366"/>
      <c r="AP91" s="364"/>
      <c r="AQ91" s="365"/>
      <c r="AR91" s="366"/>
      <c r="AS91" s="364"/>
      <c r="AT91" s="365"/>
      <c r="AU91" s="367"/>
      <c r="AV91" s="368"/>
      <c r="AW91" s="367"/>
      <c r="AX91" s="364"/>
      <c r="AY91" s="365"/>
      <c r="AZ91" s="366"/>
      <c r="BA91" s="364"/>
      <c r="BB91" s="365"/>
      <c r="BC91" s="366"/>
      <c r="BD91" s="364"/>
      <c r="BE91" s="365"/>
      <c r="BF91" s="366"/>
      <c r="BG91" s="364"/>
      <c r="BH91" s="365"/>
      <c r="BI91" s="367"/>
      <c r="BJ91" s="368"/>
      <c r="BL91" s="364"/>
      <c r="BM91" s="365"/>
      <c r="BN91" s="366"/>
      <c r="BO91" s="364"/>
      <c r="BP91" s="365"/>
      <c r="BQ91" s="366"/>
      <c r="BR91" s="364"/>
      <c r="BS91" s="365"/>
      <c r="BT91" s="366"/>
      <c r="BU91" s="364"/>
      <c r="BV91" s="365"/>
      <c r="BW91" s="367"/>
      <c r="BX91" s="368"/>
      <c r="BZ91" s="364"/>
      <c r="CA91" s="365"/>
      <c r="CB91" s="366"/>
      <c r="CC91" s="364"/>
      <c r="CD91" s="365"/>
      <c r="CE91" s="366"/>
      <c r="CF91" s="364"/>
      <c r="CG91" s="365"/>
      <c r="CH91" s="366"/>
      <c r="CI91" s="364"/>
      <c r="CJ91" s="365"/>
      <c r="CK91" s="367"/>
      <c r="CL91" s="368"/>
    </row>
    <row r="92" spans="2:90" ht="29.25" thickBot="1" x14ac:dyDescent="0.3">
      <c r="B92" s="1177"/>
      <c r="C92" s="1172"/>
      <c r="D92" s="332" t="str">
        <f>+'Plan de Accion 2018'!F133</f>
        <v>Recurrir los Actos Administrativos interpuestos por COLPENSIONES</v>
      </c>
      <c r="E92" s="1158"/>
      <c r="F92" s="1189"/>
      <c r="G92" s="335"/>
      <c r="H92" s="1098"/>
      <c r="I92" s="1388"/>
      <c r="J92" s="777">
        <f t="shared" si="21"/>
        <v>0</v>
      </c>
      <c r="K92" s="1389"/>
      <c r="L92" s="777">
        <f t="shared" si="22"/>
        <v>0</v>
      </c>
      <c r="M92" s="1391">
        <f t="shared" si="23"/>
        <v>0</v>
      </c>
      <c r="N92" s="1408"/>
      <c r="O92" s="1096"/>
      <c r="P92" s="1084"/>
      <c r="Q92" s="1081"/>
      <c r="R92" s="1081"/>
      <c r="S92" s="1081"/>
      <c r="T92" s="1093"/>
      <c r="U92" s="371"/>
      <c r="V92" s="1096"/>
      <c r="W92" s="1084"/>
      <c r="X92" s="1081"/>
      <c r="Y92" s="1084"/>
      <c r="Z92" s="1081"/>
      <c r="AA92" s="1093"/>
      <c r="AB92" s="371"/>
      <c r="AC92" s="1096"/>
      <c r="AD92" s="1084"/>
      <c r="AE92" s="1081"/>
      <c r="AF92" s="1084"/>
      <c r="AG92" s="1093"/>
      <c r="AH92" s="362"/>
      <c r="AI92" s="363"/>
      <c r="AJ92" s="364"/>
      <c r="AK92" s="365"/>
      <c r="AL92" s="366"/>
      <c r="AM92" s="364"/>
      <c r="AN92" s="365"/>
      <c r="AO92" s="366"/>
      <c r="AP92" s="364"/>
      <c r="AQ92" s="365"/>
      <c r="AR92" s="366"/>
      <c r="AS92" s="364"/>
      <c r="AT92" s="365"/>
      <c r="AU92" s="367"/>
      <c r="AV92" s="368"/>
      <c r="AW92" s="367"/>
      <c r="AX92" s="364"/>
      <c r="AY92" s="365"/>
      <c r="AZ92" s="366"/>
      <c r="BA92" s="364"/>
      <c r="BB92" s="365"/>
      <c r="BC92" s="366"/>
      <c r="BD92" s="364"/>
      <c r="BE92" s="365"/>
      <c r="BF92" s="366"/>
      <c r="BG92" s="364"/>
      <c r="BH92" s="365"/>
      <c r="BI92" s="367"/>
      <c r="BJ92" s="368"/>
      <c r="BL92" s="364"/>
      <c r="BM92" s="365"/>
      <c r="BN92" s="366"/>
      <c r="BO92" s="364"/>
      <c r="BP92" s="365"/>
      <c r="BQ92" s="366"/>
      <c r="BR92" s="364"/>
      <c r="BS92" s="365"/>
      <c r="BT92" s="366"/>
      <c r="BU92" s="364"/>
      <c r="BV92" s="365"/>
      <c r="BW92" s="367"/>
      <c r="BX92" s="368"/>
      <c r="BZ92" s="364"/>
      <c r="CA92" s="365"/>
      <c r="CB92" s="366"/>
      <c r="CC92" s="364"/>
      <c r="CD92" s="365"/>
      <c r="CE92" s="366"/>
      <c r="CF92" s="364"/>
      <c r="CG92" s="365"/>
      <c r="CH92" s="366"/>
      <c r="CI92" s="364"/>
      <c r="CJ92" s="365"/>
      <c r="CK92" s="367"/>
      <c r="CL92" s="368"/>
    </row>
    <row r="93" spans="2:90" ht="20.25" thickBot="1" x14ac:dyDescent="0.3">
      <c r="B93" s="1177"/>
      <c r="C93" s="1172"/>
      <c r="D93" s="332" t="str">
        <f>+'Plan de Accion 2018'!F134</f>
        <v>Trámites de Embargos</v>
      </c>
      <c r="E93" s="1158"/>
      <c r="F93" s="1189"/>
      <c r="G93" s="335"/>
      <c r="H93" s="1098"/>
      <c r="I93" s="1388"/>
      <c r="J93" s="777">
        <f t="shared" si="21"/>
        <v>0</v>
      </c>
      <c r="K93" s="1389"/>
      <c r="L93" s="777">
        <f t="shared" si="22"/>
        <v>0</v>
      </c>
      <c r="M93" s="1391">
        <f t="shared" si="23"/>
        <v>0</v>
      </c>
      <c r="N93" s="1408"/>
      <c r="O93" s="1097"/>
      <c r="P93" s="1085"/>
      <c r="Q93" s="1082"/>
      <c r="R93" s="1082"/>
      <c r="S93" s="1082"/>
      <c r="T93" s="1094"/>
      <c r="U93" s="371"/>
      <c r="V93" s="1097"/>
      <c r="W93" s="1085"/>
      <c r="X93" s="1082"/>
      <c r="Y93" s="1085"/>
      <c r="Z93" s="1082"/>
      <c r="AA93" s="1094"/>
      <c r="AB93" s="371"/>
      <c r="AC93" s="1097"/>
      <c r="AD93" s="1085"/>
      <c r="AE93" s="1082"/>
      <c r="AF93" s="1085"/>
      <c r="AG93" s="1094"/>
      <c r="AH93" s="362"/>
      <c r="AI93" s="363"/>
      <c r="AJ93" s="364"/>
      <c r="AK93" s="365"/>
      <c r="AL93" s="366"/>
      <c r="AM93" s="364"/>
      <c r="AN93" s="365"/>
      <c r="AO93" s="366"/>
      <c r="AP93" s="364"/>
      <c r="AQ93" s="365"/>
      <c r="AR93" s="366"/>
      <c r="AS93" s="364"/>
      <c r="AT93" s="365"/>
      <c r="AU93" s="367"/>
      <c r="AV93" s="368"/>
      <c r="AW93" s="367"/>
      <c r="AX93" s="364"/>
      <c r="AY93" s="365"/>
      <c r="AZ93" s="366"/>
      <c r="BA93" s="364"/>
      <c r="BB93" s="365"/>
      <c r="BC93" s="366"/>
      <c r="BD93" s="364"/>
      <c r="BE93" s="365"/>
      <c r="BF93" s="366"/>
      <c r="BG93" s="364"/>
      <c r="BH93" s="365"/>
      <c r="BI93" s="367"/>
      <c r="BJ93" s="368"/>
      <c r="BL93" s="364"/>
      <c r="BM93" s="365"/>
      <c r="BN93" s="366"/>
      <c r="BO93" s="364"/>
      <c r="BP93" s="365"/>
      <c r="BQ93" s="366"/>
      <c r="BR93" s="364"/>
      <c r="BS93" s="365"/>
      <c r="BT93" s="366"/>
      <c r="BU93" s="364"/>
      <c r="BV93" s="365"/>
      <c r="BW93" s="367"/>
      <c r="BX93" s="368"/>
      <c r="BZ93" s="364"/>
      <c r="CA93" s="365"/>
      <c r="CB93" s="366"/>
      <c r="CC93" s="364"/>
      <c r="CD93" s="365"/>
      <c r="CE93" s="366"/>
      <c r="CF93" s="364"/>
      <c r="CG93" s="365"/>
      <c r="CH93" s="366"/>
      <c r="CI93" s="364"/>
      <c r="CJ93" s="365"/>
      <c r="CK93" s="367"/>
      <c r="CL93" s="368"/>
    </row>
    <row r="94" spans="2:90" ht="20.25" thickBot="1" x14ac:dyDescent="0.3">
      <c r="B94" s="1177"/>
      <c r="C94" s="1172"/>
      <c r="D94" s="332" t="str">
        <f>+'Plan de Accion 2018'!F135</f>
        <v xml:space="preserve">Emisión de Conceptos Jurídicos </v>
      </c>
      <c r="E94" s="1158"/>
      <c r="F94" s="1189"/>
      <c r="G94" s="335"/>
      <c r="H94" s="776">
        <f>+'Plan de Accion 2018'!AD135</f>
        <v>0.37746843578443451</v>
      </c>
      <c r="I94" s="777">
        <f>+'Plan de Accion 2018'!BM135</f>
        <v>0.37746843578443451</v>
      </c>
      <c r="J94" s="777">
        <f t="shared" si="21"/>
        <v>0.37746843578443451</v>
      </c>
      <c r="K94" s="777">
        <f>+'Plan de Accion 2018'!AF135</f>
        <v>9.4367108946108627E-2</v>
      </c>
      <c r="L94" s="777">
        <f t="shared" si="22"/>
        <v>9.4367108946108627E-2</v>
      </c>
      <c r="M94" s="1391">
        <f t="shared" si="23"/>
        <v>9.4367108946108627E-2</v>
      </c>
      <c r="N94" s="883"/>
      <c r="O94" s="776">
        <f>+'Plan de Accion 2018'!AN135</f>
        <v>0.44953786409323221</v>
      </c>
      <c r="P94" s="777">
        <f>+'Plan de Accion 2018'!BO135</f>
        <v>0.44953786409323221</v>
      </c>
      <c r="Q94" s="870">
        <f t="shared" si="13"/>
        <v>0.44953786409323221</v>
      </c>
      <c r="R94" s="892">
        <f>+'Plan de Accion 2018'!AP135</f>
        <v>0.26421390717647797</v>
      </c>
      <c r="S94" s="892">
        <f t="shared" si="14"/>
        <v>0.26421390717647797</v>
      </c>
      <c r="T94" s="878">
        <f t="shared" si="15"/>
        <v>0.26421390717647797</v>
      </c>
      <c r="U94" s="324"/>
      <c r="V94" s="776">
        <f>+'Plan de Accion 2018'!AX135</f>
        <v>0</v>
      </c>
      <c r="W94" s="777">
        <f>+'Plan de Accion 2018'!BQ135</f>
        <v>0</v>
      </c>
      <c r="X94" s="870">
        <f t="shared" si="16"/>
        <v>0</v>
      </c>
      <c r="Y94" s="777">
        <f>+'Plan de Accion 2018'!AZ135</f>
        <v>0.26421390717647797</v>
      </c>
      <c r="Z94" s="892">
        <f t="shared" si="17"/>
        <v>0.26421390717647797</v>
      </c>
      <c r="AA94" s="878">
        <f t="shared" si="20"/>
        <v>0.26421390717647797</v>
      </c>
      <c r="AB94" s="324"/>
      <c r="AC94" s="330">
        <f>+'Plan de Accion 2018'!BH135</f>
        <v>0</v>
      </c>
      <c r="AD94" s="331">
        <f>+'Plan de Accion 2018'!BS135</f>
        <v>0</v>
      </c>
      <c r="AE94" s="870">
        <f t="shared" si="18"/>
        <v>0</v>
      </c>
      <c r="AF94" s="777">
        <f>+'Plan de Accion 2018'!BJ135</f>
        <v>0.26421390717647797</v>
      </c>
      <c r="AG94" s="878">
        <f t="shared" si="19"/>
        <v>0.26421390717647797</v>
      </c>
      <c r="AH94" s="362"/>
      <c r="AI94" s="363"/>
      <c r="AJ94" s="364"/>
      <c r="AK94" s="365"/>
      <c r="AL94" s="366"/>
      <c r="AM94" s="364"/>
      <c r="AN94" s="365"/>
      <c r="AO94" s="366"/>
      <c r="AP94" s="364"/>
      <c r="AQ94" s="365"/>
      <c r="AR94" s="366"/>
      <c r="AS94" s="364"/>
      <c r="AT94" s="365"/>
      <c r="AU94" s="367"/>
      <c r="AV94" s="368"/>
      <c r="AW94" s="367"/>
      <c r="AX94" s="364"/>
      <c r="AY94" s="365"/>
      <c r="AZ94" s="366"/>
      <c r="BA94" s="364"/>
      <c r="BB94" s="365"/>
      <c r="BC94" s="366"/>
      <c r="BD94" s="364"/>
      <c r="BE94" s="365"/>
      <c r="BF94" s="366"/>
      <c r="BG94" s="364"/>
      <c r="BH94" s="365"/>
      <c r="BI94" s="367"/>
      <c r="BJ94" s="368"/>
      <c r="BL94" s="364"/>
      <c r="BM94" s="365"/>
      <c r="BN94" s="366"/>
      <c r="BO94" s="364"/>
      <c r="BP94" s="365"/>
      <c r="BQ94" s="366"/>
      <c r="BR94" s="364"/>
      <c r="BS94" s="365"/>
      <c r="BT94" s="366"/>
      <c r="BU94" s="364"/>
      <c r="BV94" s="365"/>
      <c r="BW94" s="367"/>
      <c r="BX94" s="368"/>
      <c r="BZ94" s="364"/>
      <c r="CA94" s="365"/>
      <c r="CB94" s="366"/>
      <c r="CC94" s="364"/>
      <c r="CD94" s="365"/>
      <c r="CE94" s="366"/>
      <c r="CF94" s="364"/>
      <c r="CG94" s="365"/>
      <c r="CH94" s="366"/>
      <c r="CI94" s="364"/>
      <c r="CJ94" s="365"/>
      <c r="CK94" s="367"/>
      <c r="CL94" s="368"/>
    </row>
    <row r="95" spans="2:90" ht="29.25" thickBot="1" x14ac:dyDescent="0.3">
      <c r="B95" s="1177"/>
      <c r="C95" s="1172"/>
      <c r="D95" s="332" t="str">
        <f>+'Plan de Accion 2018'!F139</f>
        <v>Depuración de Cartera FOSYGA y/o ADRES</v>
      </c>
      <c r="E95" s="1158"/>
      <c r="F95" s="1189"/>
      <c r="G95" s="335"/>
      <c r="H95" s="776">
        <f>+'Plan de Accion 2018'!AD139</f>
        <v>0.84444443487978149</v>
      </c>
      <c r="I95" s="777">
        <f>+'Plan de Accion 2018'!BM139</f>
        <v>0.84444443487978149</v>
      </c>
      <c r="J95" s="777">
        <f t="shared" si="21"/>
        <v>0.84444443487978149</v>
      </c>
      <c r="K95" s="777">
        <f>+'Plan de Accion 2018'!AF139</f>
        <v>0.21111110871994537</v>
      </c>
      <c r="L95" s="777">
        <f t="shared" si="22"/>
        <v>0.21111110871994537</v>
      </c>
      <c r="M95" s="1391">
        <f t="shared" si="23"/>
        <v>0.21111110871994537</v>
      </c>
      <c r="N95" s="883"/>
      <c r="O95" s="776">
        <f>+'Plan de Accion 2018'!AN139</f>
        <v>1</v>
      </c>
      <c r="P95" s="777">
        <f>+'Plan de Accion 2018'!BO139</f>
        <v>1</v>
      </c>
      <c r="Q95" s="870">
        <f t="shared" si="13"/>
        <v>1</v>
      </c>
      <c r="R95" s="892">
        <f>+'Plan de Accion 2018'!AP139</f>
        <v>0.46111110871994537</v>
      </c>
      <c r="S95" s="892">
        <f t="shared" si="14"/>
        <v>0.46111110871994537</v>
      </c>
      <c r="T95" s="878">
        <f t="shared" si="15"/>
        <v>0.46111110871994537</v>
      </c>
      <c r="U95" s="324"/>
      <c r="V95" s="776">
        <f>+'Plan de Accion 2018'!AX139</f>
        <v>0</v>
      </c>
      <c r="W95" s="777">
        <f>+'Plan de Accion 2018'!BQ139</f>
        <v>0</v>
      </c>
      <c r="X95" s="870">
        <f t="shared" si="16"/>
        <v>0</v>
      </c>
      <c r="Y95" s="777">
        <f>+'Plan de Accion 2018'!AZ139</f>
        <v>0.46111110871994537</v>
      </c>
      <c r="Z95" s="892">
        <f t="shared" si="17"/>
        <v>0.46111110871994537</v>
      </c>
      <c r="AA95" s="878">
        <f t="shared" si="20"/>
        <v>0.46111110871994537</v>
      </c>
      <c r="AB95" s="324"/>
      <c r="AC95" s="330">
        <f>+'Plan de Accion 2018'!BH139</f>
        <v>0</v>
      </c>
      <c r="AD95" s="331">
        <f>+'Plan de Accion 2018'!BS139</f>
        <v>0</v>
      </c>
      <c r="AE95" s="870">
        <f t="shared" si="18"/>
        <v>0</v>
      </c>
      <c r="AF95" s="777">
        <f>+'Plan de Accion 2018'!BJ139</f>
        <v>0.46111110871994537</v>
      </c>
      <c r="AG95" s="878">
        <f t="shared" si="19"/>
        <v>0.46111110871994537</v>
      </c>
      <c r="AH95" s="362"/>
      <c r="AI95" s="363"/>
      <c r="AJ95" s="364"/>
      <c r="AK95" s="365"/>
      <c r="AL95" s="366"/>
      <c r="AM95" s="364"/>
      <c r="AN95" s="365"/>
      <c r="AO95" s="366"/>
      <c r="AP95" s="364"/>
      <c r="AQ95" s="365"/>
      <c r="AR95" s="366"/>
      <c r="AS95" s="364"/>
      <c r="AT95" s="365"/>
      <c r="AU95" s="367"/>
      <c r="AV95" s="368"/>
      <c r="AW95" s="367"/>
      <c r="AX95" s="364"/>
      <c r="AY95" s="365"/>
      <c r="AZ95" s="366"/>
      <c r="BA95" s="364"/>
      <c r="BB95" s="365"/>
      <c r="BC95" s="366"/>
      <c r="BD95" s="364"/>
      <c r="BE95" s="365"/>
      <c r="BF95" s="366"/>
      <c r="BG95" s="364"/>
      <c r="BH95" s="365"/>
      <c r="BI95" s="367"/>
      <c r="BJ95" s="368"/>
      <c r="BL95" s="364"/>
      <c r="BM95" s="365"/>
      <c r="BN95" s="366"/>
      <c r="BO95" s="364"/>
      <c r="BP95" s="365"/>
      <c r="BQ95" s="366"/>
      <c r="BR95" s="364"/>
      <c r="BS95" s="365"/>
      <c r="BT95" s="366"/>
      <c r="BU95" s="364"/>
      <c r="BV95" s="365"/>
      <c r="BW95" s="367"/>
      <c r="BX95" s="368"/>
      <c r="BZ95" s="364"/>
      <c r="CA95" s="365"/>
      <c r="CB95" s="366"/>
      <c r="CC95" s="364"/>
      <c r="CD95" s="365"/>
      <c r="CE95" s="366"/>
      <c r="CF95" s="364"/>
      <c r="CG95" s="365"/>
      <c r="CH95" s="366"/>
      <c r="CI95" s="364"/>
      <c r="CJ95" s="365"/>
      <c r="CK95" s="367"/>
      <c r="CL95" s="368"/>
    </row>
    <row r="96" spans="2:90" ht="20.25" thickBot="1" x14ac:dyDescent="0.3">
      <c r="B96" s="1177"/>
      <c r="C96" s="1172"/>
      <c r="D96" s="332" t="str">
        <f>+'Plan de Accion 2018'!F154</f>
        <v>Procesos penales</v>
      </c>
      <c r="E96" s="1158"/>
      <c r="F96" s="1189"/>
      <c r="G96" s="335"/>
      <c r="H96" s="776">
        <f>+'Plan de Accion 2018'!AD154</f>
        <v>0.44677872387190237</v>
      </c>
      <c r="I96" s="777">
        <f>+'Plan de Accion 2018'!BM154</f>
        <v>0.44677872387190237</v>
      </c>
      <c r="J96" s="777">
        <f t="shared" si="21"/>
        <v>0.44677872387190237</v>
      </c>
      <c r="K96" s="777">
        <f>+'Plan de Accion 2018'!AF154</f>
        <v>0.11169468096797559</v>
      </c>
      <c r="L96" s="777">
        <f t="shared" si="22"/>
        <v>0.11169468096797559</v>
      </c>
      <c r="M96" s="1391">
        <f t="shared" si="23"/>
        <v>0.11169468096797559</v>
      </c>
      <c r="N96" s="883"/>
      <c r="O96" s="776">
        <f>+'Plan de Accion 2018'!AN154</f>
        <v>1.3333333984864699</v>
      </c>
      <c r="P96" s="777">
        <f>+'Plan de Accion 2018'!BO154</f>
        <v>1.3333333984864699</v>
      </c>
      <c r="Q96" s="870">
        <f t="shared" si="13"/>
        <v>1</v>
      </c>
      <c r="R96" s="892">
        <f>+'Plan de Accion 2018'!AP154</f>
        <v>0.44502803058959306</v>
      </c>
      <c r="S96" s="892">
        <f t="shared" si="14"/>
        <v>0.44502803058959306</v>
      </c>
      <c r="T96" s="878">
        <f t="shared" si="15"/>
        <v>0.44502803058959306</v>
      </c>
      <c r="U96" s="883">
        <v>1</v>
      </c>
      <c r="V96" s="776">
        <f>+'Plan de Accion 2018'!AX154</f>
        <v>0</v>
      </c>
      <c r="W96" s="777">
        <f>+'Plan de Accion 2018'!BQ154</f>
        <v>0</v>
      </c>
      <c r="X96" s="870">
        <f t="shared" si="16"/>
        <v>0</v>
      </c>
      <c r="Y96" s="777">
        <f>+'Plan de Accion 2018'!AZ154</f>
        <v>0.44502803058959306</v>
      </c>
      <c r="Z96" s="892">
        <f t="shared" si="17"/>
        <v>0.44502803058959306</v>
      </c>
      <c r="AA96" s="878">
        <f t="shared" si="20"/>
        <v>0.44502803058959306</v>
      </c>
      <c r="AB96" s="324"/>
      <c r="AC96" s="330">
        <f>+'Plan de Accion 2018'!BH154</f>
        <v>0</v>
      </c>
      <c r="AD96" s="331">
        <f>+'Plan de Accion 2018'!BS154</f>
        <v>0</v>
      </c>
      <c r="AE96" s="870">
        <f t="shared" si="18"/>
        <v>0</v>
      </c>
      <c r="AF96" s="777">
        <f>+'Plan de Accion 2018'!BJ154</f>
        <v>0.44502803058959306</v>
      </c>
      <c r="AG96" s="878">
        <f t="shared" si="19"/>
        <v>0.44502803058959306</v>
      </c>
      <c r="AH96" s="362"/>
      <c r="AI96" s="363"/>
      <c r="AJ96" s="364"/>
      <c r="AK96" s="365"/>
      <c r="AL96" s="366"/>
      <c r="AM96" s="364"/>
      <c r="AN96" s="365"/>
      <c r="AO96" s="366"/>
      <c r="AP96" s="364"/>
      <c r="AQ96" s="365"/>
      <c r="AR96" s="366"/>
      <c r="AS96" s="364"/>
      <c r="AT96" s="365"/>
      <c r="AU96" s="367"/>
      <c r="AV96" s="368"/>
      <c r="AW96" s="367"/>
      <c r="AX96" s="364"/>
      <c r="AY96" s="365"/>
      <c r="AZ96" s="366"/>
      <c r="BA96" s="364"/>
      <c r="BB96" s="365"/>
      <c r="BC96" s="366"/>
      <c r="BD96" s="364"/>
      <c r="BE96" s="365"/>
      <c r="BF96" s="366"/>
      <c r="BG96" s="364"/>
      <c r="BH96" s="365"/>
      <c r="BI96" s="367"/>
      <c r="BJ96" s="368"/>
      <c r="BL96" s="364"/>
      <c r="BM96" s="365"/>
      <c r="BN96" s="366"/>
      <c r="BO96" s="364"/>
      <c r="BP96" s="365"/>
      <c r="BQ96" s="366"/>
      <c r="BR96" s="364"/>
      <c r="BS96" s="365"/>
      <c r="BT96" s="366"/>
      <c r="BU96" s="364"/>
      <c r="BV96" s="365"/>
      <c r="BW96" s="367"/>
      <c r="BX96" s="368"/>
      <c r="BZ96" s="364"/>
      <c r="CA96" s="365"/>
      <c r="CB96" s="366"/>
      <c r="CC96" s="364"/>
      <c r="CD96" s="365"/>
      <c r="CE96" s="366"/>
      <c r="CF96" s="364"/>
      <c r="CG96" s="365"/>
      <c r="CH96" s="366"/>
      <c r="CI96" s="364"/>
      <c r="CJ96" s="365"/>
      <c r="CK96" s="367"/>
      <c r="CL96" s="368"/>
    </row>
    <row r="97" spans="2:94" ht="72" thickBot="1" x14ac:dyDescent="0.3">
      <c r="B97" s="1177"/>
      <c r="C97" s="1173"/>
      <c r="D97" s="337" t="str">
        <f>+'Plan de Accion 2018'!F73</f>
        <v>Apoyos técnicos entregados a la OAJ en recobros y reclamaciones una vez son resueltos por la Dirección de Tecnología de la Información</v>
      </c>
      <c r="E97" s="337" t="str">
        <f>+'Plan de Accion 2018'!B73</f>
        <v xml:space="preserve">Dirección de Otras Prestaciones  </v>
      </c>
      <c r="F97" s="1188"/>
      <c r="G97" s="335"/>
      <c r="H97" s="340">
        <f>+'Plan de Accion 2018'!AD73</f>
        <v>0.2088888888888889</v>
      </c>
      <c r="I97" s="928">
        <f>+'Plan de Accion 2018'!BM73</f>
        <v>0.2088888888888889</v>
      </c>
      <c r="J97" s="928">
        <f t="shared" si="21"/>
        <v>0.2088888888888889</v>
      </c>
      <c r="K97" s="928">
        <f>+'Plan de Accion 2018'!AF73</f>
        <v>5.2222222222222225E-2</v>
      </c>
      <c r="L97" s="928">
        <f t="shared" si="22"/>
        <v>5.2222222222222225E-2</v>
      </c>
      <c r="M97" s="930">
        <f t="shared" si="23"/>
        <v>5.2222222222222225E-2</v>
      </c>
      <c r="N97" s="883"/>
      <c r="O97" s="340">
        <f>+'Plan de Accion 2018'!AN73</f>
        <v>0.4</v>
      </c>
      <c r="P97" s="890">
        <f>+'Plan de Accion 2018'!BO73</f>
        <v>0.4</v>
      </c>
      <c r="Q97" s="872">
        <f t="shared" si="13"/>
        <v>0.4</v>
      </c>
      <c r="R97" s="892">
        <f>+'Plan de Accion 2018'!AP73</f>
        <v>0.15222222222222223</v>
      </c>
      <c r="S97" s="891">
        <f t="shared" si="14"/>
        <v>0.15222222222222223</v>
      </c>
      <c r="T97" s="878">
        <f t="shared" si="15"/>
        <v>0.15222222222222223</v>
      </c>
      <c r="U97" s="324"/>
      <c r="V97" s="340">
        <f>+'Plan de Accion 2018'!AX73</f>
        <v>0</v>
      </c>
      <c r="W97" s="890">
        <f>+'Plan de Accion 2018'!BQ73</f>
        <v>0</v>
      </c>
      <c r="X97" s="870">
        <f t="shared" si="16"/>
        <v>0</v>
      </c>
      <c r="Y97" s="890">
        <f>+'Plan de Accion 2018'!AZ73</f>
        <v>0.15222222222222223</v>
      </c>
      <c r="Z97" s="892">
        <f t="shared" si="17"/>
        <v>0.15222222222222223</v>
      </c>
      <c r="AA97" s="878">
        <f t="shared" si="20"/>
        <v>0.15222222222222223</v>
      </c>
      <c r="AB97" s="324"/>
      <c r="AC97" s="340">
        <f>+'Plan de Accion 2018'!BH73</f>
        <v>0</v>
      </c>
      <c r="AD97" s="341">
        <f>+'Plan de Accion 2018'!BS73</f>
        <v>0</v>
      </c>
      <c r="AE97" s="870">
        <f t="shared" si="18"/>
        <v>0</v>
      </c>
      <c r="AF97" s="885">
        <f>+'Plan de Accion 2018'!BJ73</f>
        <v>0.15222222222222223</v>
      </c>
      <c r="AG97" s="878">
        <f t="shared" si="19"/>
        <v>0.15222222222222223</v>
      </c>
      <c r="AH97" s="362"/>
      <c r="AI97" s="363"/>
      <c r="AJ97" s="364"/>
      <c r="AK97" s="365"/>
      <c r="AL97" s="366"/>
      <c r="AM97" s="364"/>
      <c r="AN97" s="365"/>
      <c r="AO97" s="366"/>
      <c r="AP97" s="364"/>
      <c r="AQ97" s="365"/>
      <c r="AR97" s="366"/>
      <c r="AS97" s="364"/>
      <c r="AT97" s="365"/>
      <c r="AU97" s="367"/>
      <c r="AV97" s="368"/>
      <c r="AW97" s="367"/>
      <c r="AX97" s="364"/>
      <c r="AY97" s="365"/>
      <c r="AZ97" s="366"/>
      <c r="BA97" s="364"/>
      <c r="BB97" s="365"/>
      <c r="BC97" s="366"/>
      <c r="BD97" s="364"/>
      <c r="BE97" s="365"/>
      <c r="BF97" s="366"/>
      <c r="BG97" s="364"/>
      <c r="BH97" s="365"/>
      <c r="BI97" s="367"/>
      <c r="BJ97" s="368"/>
      <c r="BL97" s="364"/>
      <c r="BM97" s="365"/>
      <c r="BN97" s="366"/>
      <c r="BO97" s="364"/>
      <c r="BP97" s="365"/>
      <c r="BQ97" s="366"/>
      <c r="BR97" s="364"/>
      <c r="BS97" s="365"/>
      <c r="BT97" s="366"/>
      <c r="BU97" s="364"/>
      <c r="BV97" s="365"/>
      <c r="BW97" s="367"/>
      <c r="BX97" s="368"/>
      <c r="BZ97" s="364"/>
      <c r="CA97" s="365"/>
      <c r="CB97" s="366"/>
      <c r="CC97" s="364"/>
      <c r="CD97" s="365"/>
      <c r="CE97" s="366"/>
      <c r="CF97" s="364"/>
      <c r="CG97" s="365"/>
      <c r="CH97" s="366"/>
      <c r="CI97" s="364"/>
      <c r="CJ97" s="365"/>
      <c r="CK97" s="367"/>
      <c r="CL97" s="368"/>
      <c r="CP97" s="297" t="s">
        <v>1109</v>
      </c>
    </row>
    <row r="98" spans="2:94" ht="20.25" thickBot="1" x14ac:dyDescent="0.3">
      <c r="B98" s="1178"/>
      <c r="C98" s="1142" t="s">
        <v>798</v>
      </c>
      <c r="D98" s="1143"/>
      <c r="E98" s="1143"/>
      <c r="F98" s="1144"/>
      <c r="G98" s="335"/>
      <c r="H98" s="358" t="s">
        <v>792</v>
      </c>
      <c r="I98" s="344">
        <f>SUM(I78:I97)/COUNT(I78:I97)</f>
        <v>0.4039051915705269</v>
      </c>
      <c r="J98" s="344">
        <f t="shared" si="21"/>
        <v>0.4039051915705269</v>
      </c>
      <c r="K98" s="344">
        <f>SUM(K78:K97)/COUNT(K78:K97)</f>
        <v>9.0687394681550682E-2</v>
      </c>
      <c r="L98" s="344">
        <f>SUM(L78:L97)/COUNT(L78:L97)</f>
        <v>6.5634593630210625E-2</v>
      </c>
      <c r="M98" s="346">
        <f>SUM(M78:M97)/COUNT(M78:M97)</f>
        <v>7.2927326255789585E-2</v>
      </c>
      <c r="N98" s="1406"/>
      <c r="O98" s="358" t="s">
        <v>792</v>
      </c>
      <c r="P98" s="876">
        <f>SUM(P78:P97)/COUNT(P78:P97)</f>
        <v>0.59560987217644745</v>
      </c>
      <c r="Q98" s="876">
        <f>SUM(Q78:Q97)/COUNT(Q78:Q97)</f>
        <v>0.56783208896924153</v>
      </c>
      <c r="R98" s="880">
        <f>SUM(R78:R97)/COUNT(R78:R97)</f>
        <v>0.22454377645390344</v>
      </c>
      <c r="S98" s="918">
        <f>SUM(S78:S97)/COUNT(S78:S97)</f>
        <v>0.22454377645390344</v>
      </c>
      <c r="T98" s="888">
        <f>SUM(T78:T97)/COUNT(T78:T97)</f>
        <v>0.25908897283142707</v>
      </c>
      <c r="U98" s="369"/>
      <c r="V98" s="358" t="s">
        <v>792</v>
      </c>
      <c r="W98" s="344">
        <f>SUM(W78:W97)/COUNT(W78:W97)</f>
        <v>0</v>
      </c>
      <c r="X98" s="344">
        <f>SUM(X78:X97)/COUNT(X78:X97)</f>
        <v>0</v>
      </c>
      <c r="Y98" s="876">
        <f>SUM(Y78:Y97)/COUNT(Y78:Y97)</f>
        <v>0.22454377645390344</v>
      </c>
      <c r="Z98" s="344">
        <f>SUM(Z78:Z97)/COUNT(Z78:Z97)</f>
        <v>0.22454377645390344</v>
      </c>
      <c r="AA98" s="346">
        <f>SUM(AA78:AA97)/COUNT(AA78:AA97)</f>
        <v>0.22454377645390344</v>
      </c>
      <c r="AB98" s="369"/>
      <c r="AC98" s="358" t="s">
        <v>792</v>
      </c>
      <c r="AD98" s="344">
        <f>SUM(AD78:AD97)/COUNT(AD78:AD97)</f>
        <v>0</v>
      </c>
      <c r="AE98" s="344">
        <f>SUM(AE78:AE97)/COUNT(AE78:AE97)</f>
        <v>0</v>
      </c>
      <c r="AF98" s="876">
        <f>SUM(AF78:AF97)/COUNT(AF78:AF97)</f>
        <v>0.22454377645390344</v>
      </c>
      <c r="AG98" s="346">
        <f>SUM(AG78:AG97)/COUNT(AG78:AG97)</f>
        <v>0.22454377645390344</v>
      </c>
      <c r="AH98" s="362"/>
      <c r="AI98" s="363"/>
      <c r="AJ98" s="364"/>
      <c r="AK98" s="365"/>
      <c r="AL98" s="366"/>
      <c r="AM98" s="364"/>
      <c r="AN98" s="365"/>
      <c r="AO98" s="366"/>
      <c r="AP98" s="364"/>
      <c r="AQ98" s="365"/>
      <c r="AR98" s="366"/>
      <c r="AS98" s="364"/>
      <c r="AT98" s="365"/>
      <c r="AU98" s="367"/>
      <c r="AV98" s="368"/>
      <c r="AW98" s="367"/>
      <c r="AX98" s="364"/>
      <c r="AY98" s="365"/>
      <c r="AZ98" s="366"/>
      <c r="BA98" s="364"/>
      <c r="BB98" s="365"/>
      <c r="BC98" s="366"/>
      <c r="BD98" s="364"/>
      <c r="BE98" s="365"/>
      <c r="BF98" s="366"/>
      <c r="BG98" s="364"/>
      <c r="BH98" s="365"/>
      <c r="BI98" s="367"/>
      <c r="BJ98" s="368"/>
      <c r="BL98" s="364"/>
      <c r="BM98" s="365"/>
      <c r="BN98" s="366"/>
      <c r="BO98" s="364"/>
      <c r="BP98" s="365"/>
      <c r="BQ98" s="366"/>
      <c r="BR98" s="364"/>
      <c r="BS98" s="365"/>
      <c r="BT98" s="366"/>
      <c r="BU98" s="364"/>
      <c r="BV98" s="365"/>
      <c r="BW98" s="367"/>
      <c r="BX98" s="368"/>
      <c r="BZ98" s="364"/>
      <c r="CA98" s="365"/>
      <c r="CB98" s="366"/>
      <c r="CC98" s="364"/>
      <c r="CD98" s="365"/>
      <c r="CE98" s="366"/>
      <c r="CF98" s="364"/>
      <c r="CG98" s="365"/>
      <c r="CH98" s="366"/>
      <c r="CI98" s="364"/>
      <c r="CJ98" s="365"/>
      <c r="CK98" s="367"/>
      <c r="CL98" s="368"/>
    </row>
    <row r="99" spans="2:94" s="299" customFormat="1" ht="20.25" customHeight="1" thickBot="1" x14ac:dyDescent="0.3">
      <c r="B99" s="1177"/>
      <c r="C99" s="1171" t="s">
        <v>144</v>
      </c>
      <c r="D99" s="360" t="str">
        <f>+'Plan de Accion 2018'!F48</f>
        <v>Proceso de Compensación</v>
      </c>
      <c r="E99" s="1103" t="str">
        <f>+'Plan de Accion 2018'!B48</f>
        <v>Dirección de Liquidaciones y Garantías</v>
      </c>
      <c r="F99" s="1190" t="s">
        <v>815</v>
      </c>
      <c r="G99" s="335"/>
      <c r="H99" s="322">
        <f>+'Plan de Accion 2018'!AD48</f>
        <v>0.44241857965798992</v>
      </c>
      <c r="I99" s="929">
        <f>+'Plan de Accion 2018'!BM48</f>
        <v>0.44241857965798992</v>
      </c>
      <c r="J99" s="929">
        <f t="shared" si="21"/>
        <v>0.44241857965798992</v>
      </c>
      <c r="K99" s="929">
        <f>+'Plan de Accion 2018'!AF48</f>
        <v>0.19035873318791358</v>
      </c>
      <c r="L99" s="929">
        <f t="shared" si="22"/>
        <v>0.19035873318791358</v>
      </c>
      <c r="M99" s="931">
        <f t="shared" si="23"/>
        <v>0.19035873318791358</v>
      </c>
      <c r="N99" s="883"/>
      <c r="O99" s="322">
        <f>+'Plan de Accion 2018'!AN48</f>
        <v>2.2590291666666666</v>
      </c>
      <c r="P99" s="892">
        <f>+'Plan de Accion 2018'!BO48</f>
        <v>2.2590291666666666</v>
      </c>
      <c r="Q99" s="870">
        <f t="shared" si="13"/>
        <v>1</v>
      </c>
      <c r="R99" s="892">
        <f>+'Plan de Accion 2018'!AP48</f>
        <v>0.465443431824482</v>
      </c>
      <c r="S99" s="892">
        <f t="shared" si="14"/>
        <v>0.465443431824482</v>
      </c>
      <c r="T99" s="878">
        <f t="shared" si="15"/>
        <v>0.465443431824482</v>
      </c>
      <c r="U99" s="883">
        <v>1</v>
      </c>
      <c r="V99" s="322">
        <f>+'Plan de Accion 2018'!AX48</f>
        <v>0</v>
      </c>
      <c r="W99" s="892">
        <f>+'Plan de Accion 2018'!BQ48</f>
        <v>0</v>
      </c>
      <c r="X99" s="870">
        <f t="shared" si="16"/>
        <v>0</v>
      </c>
      <c r="Y99" s="892">
        <f>+'Plan de Accion 2018'!AZ48</f>
        <v>0.465443431824482</v>
      </c>
      <c r="Z99" s="892">
        <f t="shared" ref="Z99:Z105" si="24">IF(Y99&gt;75%,75%,Y99)</f>
        <v>0.465443431824482</v>
      </c>
      <c r="AA99" s="878">
        <f t="shared" si="20"/>
        <v>0.465443431824482</v>
      </c>
      <c r="AB99" s="324"/>
      <c r="AC99" s="322">
        <f>+'Plan de Accion 2018'!BH48</f>
        <v>0</v>
      </c>
      <c r="AD99" s="323">
        <f>+'Plan de Accion 2018'!BS48</f>
        <v>0</v>
      </c>
      <c r="AE99" s="870">
        <f t="shared" si="18"/>
        <v>0</v>
      </c>
      <c r="AF99" s="886">
        <f>+'Plan de Accion 2018'!BJ48</f>
        <v>0.465443431824482</v>
      </c>
      <c r="AG99" s="878">
        <f t="shared" si="19"/>
        <v>0.465443431824482</v>
      </c>
      <c r="AH99" s="372"/>
      <c r="AI99" s="373"/>
      <c r="AJ99" s="374"/>
      <c r="AK99" s="375"/>
      <c r="AL99" s="376"/>
      <c r="AM99" s="374"/>
      <c r="AN99" s="375"/>
      <c r="AO99" s="376"/>
      <c r="AP99" s="374"/>
      <c r="AQ99" s="375"/>
      <c r="AR99" s="376"/>
      <c r="AS99" s="374"/>
      <c r="AT99" s="375"/>
      <c r="AU99" s="376"/>
      <c r="AV99" s="377"/>
      <c r="AW99" s="376"/>
      <c r="AX99" s="374"/>
      <c r="AY99" s="375"/>
      <c r="AZ99" s="376"/>
      <c r="BA99" s="374"/>
      <c r="BB99" s="375"/>
      <c r="BC99" s="376"/>
      <c r="BD99" s="374"/>
      <c r="BE99" s="375"/>
      <c r="BF99" s="376"/>
      <c r="BG99" s="374"/>
      <c r="BH99" s="375"/>
      <c r="BI99" s="376"/>
      <c r="BJ99" s="377"/>
      <c r="BL99" s="374"/>
      <c r="BM99" s="375"/>
      <c r="BN99" s="376"/>
      <c r="BO99" s="374"/>
      <c r="BP99" s="375"/>
      <c r="BQ99" s="376"/>
      <c r="BR99" s="374"/>
      <c r="BS99" s="375"/>
      <c r="BT99" s="376"/>
      <c r="BU99" s="374"/>
      <c r="BV99" s="375"/>
      <c r="BW99" s="376"/>
      <c r="BX99" s="377"/>
      <c r="BZ99" s="374"/>
      <c r="CA99" s="375"/>
      <c r="CB99" s="376"/>
      <c r="CC99" s="374"/>
      <c r="CD99" s="375"/>
      <c r="CE99" s="376"/>
      <c r="CF99" s="374"/>
      <c r="CG99" s="375"/>
      <c r="CH99" s="376"/>
      <c r="CI99" s="374"/>
      <c r="CJ99" s="375"/>
      <c r="CK99" s="376"/>
      <c r="CL99" s="377"/>
    </row>
    <row r="100" spans="2:94" s="299" customFormat="1" ht="20.25" thickBot="1" x14ac:dyDescent="0.3">
      <c r="B100" s="1177"/>
      <c r="C100" s="1171"/>
      <c r="D100" s="422" t="str">
        <f>+'Plan de Accion 2018'!F52</f>
        <v>Prestaciones económicas REX</v>
      </c>
      <c r="E100" s="1104"/>
      <c r="F100" s="1191"/>
      <c r="G100" s="335"/>
      <c r="H100" s="776">
        <f>+'Plan de Accion 2018'!AD52</f>
        <v>0.38422896519305616</v>
      </c>
      <c r="I100" s="777">
        <f>+'Plan de Accion 2018'!BM52</f>
        <v>0.38422896519305616</v>
      </c>
      <c r="J100" s="777">
        <f t="shared" si="21"/>
        <v>0.38422896519305616</v>
      </c>
      <c r="K100" s="777">
        <f>+'Plan de Accion 2018'!AF52</f>
        <v>0.10806439646054704</v>
      </c>
      <c r="L100" s="777">
        <f t="shared" si="22"/>
        <v>0.10806439646054704</v>
      </c>
      <c r="M100" s="1391">
        <f t="shared" si="23"/>
        <v>0.10806439646054704</v>
      </c>
      <c r="N100" s="883"/>
      <c r="O100" s="322">
        <f>+'Plan de Accion 2018'!AN52</f>
        <v>0.59808759174010839</v>
      </c>
      <c r="P100" s="892">
        <f>+'Plan de Accion 2018'!BO52</f>
        <v>0.59808759174010839</v>
      </c>
      <c r="Q100" s="870">
        <f t="shared" si="13"/>
        <v>0.59808759174010839</v>
      </c>
      <c r="R100" s="892">
        <f>+'Plan de Accion 2018'!AP52</f>
        <v>0.27627653163745253</v>
      </c>
      <c r="S100" s="892">
        <f t="shared" si="14"/>
        <v>0.27627653163745253</v>
      </c>
      <c r="T100" s="878">
        <f t="shared" si="15"/>
        <v>0.27627653163745253</v>
      </c>
      <c r="U100" s="324"/>
      <c r="V100" s="322">
        <f>+'Plan de Accion 2018'!AX52</f>
        <v>0</v>
      </c>
      <c r="W100" s="892">
        <f>+'Plan de Accion 2018'!BQ52</f>
        <v>0</v>
      </c>
      <c r="X100" s="870">
        <f t="shared" si="16"/>
        <v>0</v>
      </c>
      <c r="Y100" s="892">
        <f>+'Plan de Accion 2018'!AZ52</f>
        <v>0.27627653163745253</v>
      </c>
      <c r="Z100" s="892">
        <f t="shared" si="24"/>
        <v>0.27627653163745253</v>
      </c>
      <c r="AA100" s="878">
        <f t="shared" si="20"/>
        <v>0.27627653163745253</v>
      </c>
      <c r="AB100" s="324"/>
      <c r="AC100" s="322">
        <f>+'Plan de Accion 2018'!BH52</f>
        <v>0</v>
      </c>
      <c r="AD100" s="323">
        <f>+'Plan de Accion 2018'!BS52</f>
        <v>0</v>
      </c>
      <c r="AE100" s="870">
        <f t="shared" si="18"/>
        <v>0</v>
      </c>
      <c r="AF100" s="886">
        <f>+'Plan de Accion 2018'!BJ52</f>
        <v>0.27627653163745253</v>
      </c>
      <c r="AG100" s="878">
        <f t="shared" si="19"/>
        <v>0.27627653163745253</v>
      </c>
      <c r="AH100" s="372"/>
      <c r="AI100" s="373"/>
      <c r="AJ100" s="374"/>
      <c r="AK100" s="375"/>
      <c r="AL100" s="376"/>
      <c r="AM100" s="374"/>
      <c r="AN100" s="375"/>
      <c r="AO100" s="376"/>
      <c r="AP100" s="374"/>
      <c r="AQ100" s="375"/>
      <c r="AR100" s="376"/>
      <c r="AS100" s="374"/>
      <c r="AT100" s="375"/>
      <c r="AU100" s="376"/>
      <c r="AV100" s="377"/>
      <c r="AW100" s="376"/>
      <c r="AX100" s="374"/>
      <c r="AY100" s="375"/>
      <c r="AZ100" s="376"/>
      <c r="BA100" s="374"/>
      <c r="BB100" s="375"/>
      <c r="BC100" s="376"/>
      <c r="BD100" s="374"/>
      <c r="BE100" s="375"/>
      <c r="BF100" s="376"/>
      <c r="BG100" s="374"/>
      <c r="BH100" s="375"/>
      <c r="BI100" s="376"/>
      <c r="BJ100" s="377"/>
      <c r="BL100" s="374"/>
      <c r="BM100" s="375"/>
      <c r="BN100" s="376"/>
      <c r="BO100" s="374"/>
      <c r="BP100" s="375"/>
      <c r="BQ100" s="376"/>
      <c r="BR100" s="374"/>
      <c r="BS100" s="375"/>
      <c r="BT100" s="376"/>
      <c r="BU100" s="374"/>
      <c r="BV100" s="375"/>
      <c r="BW100" s="376"/>
      <c r="BX100" s="377"/>
      <c r="BZ100" s="374"/>
      <c r="CA100" s="375"/>
      <c r="CB100" s="376"/>
      <c r="CC100" s="374"/>
      <c r="CD100" s="375"/>
      <c r="CE100" s="376"/>
      <c r="CF100" s="374"/>
      <c r="CG100" s="375"/>
      <c r="CH100" s="376"/>
      <c r="CI100" s="374"/>
      <c r="CJ100" s="375"/>
      <c r="CK100" s="376"/>
      <c r="CL100" s="377"/>
    </row>
    <row r="101" spans="2:94" s="299" customFormat="1" ht="20.25" thickBot="1" x14ac:dyDescent="0.3">
      <c r="B101" s="1177"/>
      <c r="C101" s="1172"/>
      <c r="D101" s="332" t="str">
        <f>+'Plan de Accion 2018'!F53</f>
        <v>Prestaciones económicas REX</v>
      </c>
      <c r="E101" s="1104"/>
      <c r="F101" s="1191"/>
      <c r="G101" s="335"/>
      <c r="H101" s="776">
        <f>+'Plan de Accion 2018'!AD53</f>
        <v>0.60153619281045756</v>
      </c>
      <c r="I101" s="777">
        <f>+'Plan de Accion 2018'!BM53</f>
        <v>0.60153619281045756</v>
      </c>
      <c r="J101" s="777">
        <f t="shared" si="21"/>
        <v>0.60153619281045756</v>
      </c>
      <c r="K101" s="777">
        <f>+'Plan de Accion 2018'!AF53</f>
        <v>0.15038404820261439</v>
      </c>
      <c r="L101" s="777">
        <f t="shared" si="22"/>
        <v>0.15038404820261439</v>
      </c>
      <c r="M101" s="1391">
        <f t="shared" si="23"/>
        <v>0.15038404820261439</v>
      </c>
      <c r="N101" s="883"/>
      <c r="O101" s="776">
        <f>+'Plan de Accion 2018'!AN53</f>
        <v>1.2590291666666666</v>
      </c>
      <c r="P101" s="777">
        <f>+'Plan de Accion 2018'!BO53</f>
        <v>1.2590291666666666</v>
      </c>
      <c r="Q101" s="870">
        <f t="shared" si="13"/>
        <v>1</v>
      </c>
      <c r="R101" s="892">
        <f>+'Plan de Accion 2018'!AP53</f>
        <v>0.46514133986928102</v>
      </c>
      <c r="S101" s="892">
        <f t="shared" si="14"/>
        <v>0.46514133986928102</v>
      </c>
      <c r="T101" s="878">
        <f t="shared" si="15"/>
        <v>0.46514133986928102</v>
      </c>
      <c r="U101" s="883">
        <v>1</v>
      </c>
      <c r="V101" s="776">
        <f>+'Plan de Accion 2018'!AX53</f>
        <v>0</v>
      </c>
      <c r="W101" s="777">
        <f>+'Plan de Accion 2018'!BQ53</f>
        <v>0</v>
      </c>
      <c r="X101" s="870">
        <f t="shared" si="16"/>
        <v>0</v>
      </c>
      <c r="Y101" s="777">
        <f>+'Plan de Accion 2018'!AZ53</f>
        <v>0.46514133986928102</v>
      </c>
      <c r="Z101" s="892">
        <f t="shared" si="24"/>
        <v>0.46514133986928102</v>
      </c>
      <c r="AA101" s="878">
        <f t="shared" si="20"/>
        <v>0.46514133986928102</v>
      </c>
      <c r="AB101" s="324"/>
      <c r="AC101" s="330">
        <f>+'Plan de Accion 2018'!BH53</f>
        <v>0</v>
      </c>
      <c r="AD101" s="331">
        <f>+'Plan de Accion 2018'!BS53</f>
        <v>0</v>
      </c>
      <c r="AE101" s="870">
        <f t="shared" si="18"/>
        <v>0</v>
      </c>
      <c r="AF101" s="777">
        <f>+'Plan de Accion 2018'!BJ53</f>
        <v>0.46514133986928102</v>
      </c>
      <c r="AG101" s="878">
        <f t="shared" si="19"/>
        <v>0.46514133986928102</v>
      </c>
      <c r="AH101" s="372"/>
      <c r="AI101" s="373"/>
      <c r="AJ101" s="374"/>
      <c r="AK101" s="375"/>
      <c r="AL101" s="376"/>
      <c r="AM101" s="374"/>
      <c r="AN101" s="375"/>
      <c r="AO101" s="376"/>
      <c r="AP101" s="374"/>
      <c r="AQ101" s="375"/>
      <c r="AR101" s="376"/>
      <c r="AS101" s="374"/>
      <c r="AT101" s="375"/>
      <c r="AU101" s="376"/>
      <c r="AV101" s="377"/>
      <c r="AW101" s="376"/>
      <c r="AX101" s="374"/>
      <c r="AY101" s="375"/>
      <c r="AZ101" s="376"/>
      <c r="BA101" s="374"/>
      <c r="BB101" s="375"/>
      <c r="BC101" s="376"/>
      <c r="BD101" s="374"/>
      <c r="BE101" s="375"/>
      <c r="BF101" s="376"/>
      <c r="BG101" s="374"/>
      <c r="BH101" s="375"/>
      <c r="BI101" s="376"/>
      <c r="BJ101" s="377"/>
      <c r="BL101" s="374"/>
      <c r="BM101" s="375"/>
      <c r="BN101" s="376"/>
      <c r="BO101" s="374"/>
      <c r="BP101" s="375"/>
      <c r="BQ101" s="376"/>
      <c r="BR101" s="374"/>
      <c r="BS101" s="375"/>
      <c r="BT101" s="376"/>
      <c r="BU101" s="374"/>
      <c r="BV101" s="375"/>
      <c r="BW101" s="376"/>
      <c r="BX101" s="377"/>
      <c r="BZ101" s="374"/>
      <c r="CA101" s="375"/>
      <c r="CB101" s="376"/>
      <c r="CC101" s="374"/>
      <c r="CD101" s="375"/>
      <c r="CE101" s="376"/>
      <c r="CF101" s="374"/>
      <c r="CG101" s="375"/>
      <c r="CH101" s="376"/>
      <c r="CI101" s="374"/>
      <c r="CJ101" s="375"/>
      <c r="CK101" s="376"/>
      <c r="CL101" s="377"/>
    </row>
    <row r="102" spans="2:94" s="299" customFormat="1" ht="20.25" thickBot="1" x14ac:dyDescent="0.3">
      <c r="B102" s="1177"/>
      <c r="C102" s="1172"/>
      <c r="D102" s="332" t="str">
        <f>+'Plan de Accion 2018'!F63</f>
        <v xml:space="preserve">Estudios del Sector </v>
      </c>
      <c r="E102" s="1104"/>
      <c r="F102" s="1191"/>
      <c r="G102" s="335"/>
      <c r="H102" s="776">
        <f>+'Plan de Accion 2018'!AD63</f>
        <v>0</v>
      </c>
      <c r="I102" s="777">
        <f>+'Plan de Accion 2018'!BM63</f>
        <v>0</v>
      </c>
      <c r="J102" s="777">
        <f t="shared" si="21"/>
        <v>0</v>
      </c>
      <c r="K102" s="777">
        <f>+'Plan de Accion 2018'!AF63</f>
        <v>0</v>
      </c>
      <c r="L102" s="777">
        <f t="shared" si="22"/>
        <v>0</v>
      </c>
      <c r="M102" s="1391">
        <f t="shared" si="23"/>
        <v>0</v>
      </c>
      <c r="N102" s="883"/>
      <c r="O102" s="776" t="e">
        <f>+'Plan de Accion 2018'!AN63</f>
        <v>#DIV/0!</v>
      </c>
      <c r="P102" s="777" t="str">
        <f>+'Plan de Accion 2018'!BO63</f>
        <v>No Prog ni Ejec</v>
      </c>
      <c r="Q102" s="870" t="s">
        <v>792</v>
      </c>
      <c r="R102" s="892">
        <f>+'Plan de Accion 2018'!AP63</f>
        <v>0</v>
      </c>
      <c r="S102" s="892">
        <f t="shared" si="14"/>
        <v>0</v>
      </c>
      <c r="T102" s="878">
        <f>+S102</f>
        <v>0</v>
      </c>
      <c r="U102" s="324"/>
      <c r="V102" s="776" t="e">
        <f>+'Plan de Accion 2018'!AX63</f>
        <v>#DIV/0!</v>
      </c>
      <c r="W102" s="777" t="str">
        <f>+'Plan de Accion 2018'!BQ63</f>
        <v>No Prog ni Ejec</v>
      </c>
      <c r="X102" s="870" t="s">
        <v>792</v>
      </c>
      <c r="Y102" s="777">
        <f>+'Plan de Accion 2018'!AZ63</f>
        <v>0</v>
      </c>
      <c r="Z102" s="892">
        <f t="shared" si="24"/>
        <v>0</v>
      </c>
      <c r="AA102" s="878">
        <f t="shared" si="20"/>
        <v>0</v>
      </c>
      <c r="AB102" s="324"/>
      <c r="AC102" s="330" t="e">
        <f>+'Plan de Accion 2018'!BH63</f>
        <v>#DIV/0!</v>
      </c>
      <c r="AD102" s="331" t="str">
        <f>+'Plan de Accion 2018'!BS63</f>
        <v>No Prog ni Ejec</v>
      </c>
      <c r="AE102" s="870" t="s">
        <v>792</v>
      </c>
      <c r="AF102" s="777">
        <f>+'Plan de Accion 2018'!BJ63</f>
        <v>0</v>
      </c>
      <c r="AG102" s="878">
        <f t="shared" si="19"/>
        <v>0</v>
      </c>
      <c r="AH102" s="372"/>
      <c r="AI102" s="373"/>
      <c r="AJ102" s="374"/>
      <c r="AK102" s="375"/>
      <c r="AL102" s="376"/>
      <c r="AM102" s="374"/>
      <c r="AN102" s="375"/>
      <c r="AO102" s="376"/>
      <c r="AP102" s="374"/>
      <c r="AQ102" s="375"/>
      <c r="AR102" s="376"/>
      <c r="AS102" s="374"/>
      <c r="AT102" s="375"/>
      <c r="AU102" s="376"/>
      <c r="AV102" s="377"/>
      <c r="AW102" s="376"/>
      <c r="AX102" s="374"/>
      <c r="AY102" s="375"/>
      <c r="AZ102" s="376"/>
      <c r="BA102" s="374"/>
      <c r="BB102" s="375"/>
      <c r="BC102" s="376"/>
      <c r="BD102" s="374"/>
      <c r="BE102" s="375"/>
      <c r="BF102" s="376"/>
      <c r="BG102" s="374"/>
      <c r="BH102" s="375"/>
      <c r="BI102" s="376"/>
      <c r="BJ102" s="377"/>
      <c r="BL102" s="374"/>
      <c r="BM102" s="375"/>
      <c r="BN102" s="376"/>
      <c r="BO102" s="374"/>
      <c r="BP102" s="375"/>
      <c r="BQ102" s="376"/>
      <c r="BR102" s="374"/>
      <c r="BS102" s="375"/>
      <c r="BT102" s="376"/>
      <c r="BU102" s="374"/>
      <c r="BV102" s="375"/>
      <c r="BW102" s="376"/>
      <c r="BX102" s="377"/>
      <c r="BZ102" s="374"/>
      <c r="CA102" s="375"/>
      <c r="CB102" s="376"/>
      <c r="CC102" s="374"/>
      <c r="CD102" s="375"/>
      <c r="CE102" s="376"/>
      <c r="CF102" s="374"/>
      <c r="CG102" s="375"/>
      <c r="CH102" s="376"/>
      <c r="CI102" s="374"/>
      <c r="CJ102" s="375"/>
      <c r="CK102" s="376"/>
      <c r="CL102" s="377"/>
    </row>
    <row r="103" spans="2:94" s="299" customFormat="1" ht="20.25" thickBot="1" x14ac:dyDescent="0.3">
      <c r="B103" s="1177"/>
      <c r="C103" s="1172"/>
      <c r="D103" s="424" t="str">
        <f>+'Plan de Accion 2018'!F156</f>
        <v>Convenio Cafesalud</v>
      </c>
      <c r="E103" s="1105"/>
      <c r="F103" s="1191"/>
      <c r="G103" s="335"/>
      <c r="H103" s="776">
        <f>+'Plan de Accion 2018'!AD156</f>
        <v>0.99667774086378735</v>
      </c>
      <c r="I103" s="777">
        <f>+'Plan de Accion 2018'!BM156</f>
        <v>0.99667774086378735</v>
      </c>
      <c r="J103" s="777">
        <f t="shared" si="21"/>
        <v>0.99667774086378735</v>
      </c>
      <c r="K103" s="777">
        <f>+'Plan de Accion 2018'!AF156</f>
        <v>0.42857142857142855</v>
      </c>
      <c r="L103" s="777">
        <f t="shared" si="22"/>
        <v>0.25</v>
      </c>
      <c r="M103" s="1391">
        <f t="shared" si="23"/>
        <v>0.25</v>
      </c>
      <c r="N103" s="883"/>
      <c r="O103" s="776">
        <f>+'Plan de Accion 2018'!AN156</f>
        <v>0</v>
      </c>
      <c r="P103" s="777">
        <f>+'Plan de Accion 2018'!BO156</f>
        <v>0</v>
      </c>
      <c r="Q103" s="870">
        <f t="shared" si="13"/>
        <v>0</v>
      </c>
      <c r="R103" s="892">
        <f>+'Plan de Accion 2018'!AP156</f>
        <v>0.42857142857142855</v>
      </c>
      <c r="S103" s="892">
        <f t="shared" si="14"/>
        <v>0.42857142857142855</v>
      </c>
      <c r="T103" s="878">
        <f t="shared" si="15"/>
        <v>0.42857142857142855</v>
      </c>
      <c r="U103" s="324"/>
      <c r="V103" s="776" t="e">
        <f>+'Plan de Accion 2018'!AX156</f>
        <v>#DIV/0!</v>
      </c>
      <c r="W103" s="777" t="str">
        <f>+'Plan de Accion 2018'!BQ156</f>
        <v>No Prog ni Ejec</v>
      </c>
      <c r="X103" s="870" t="s">
        <v>792</v>
      </c>
      <c r="Y103" s="777">
        <f>+'Plan de Accion 2018'!AZ156</f>
        <v>0.42857142857142855</v>
      </c>
      <c r="Z103" s="892">
        <f t="shared" si="24"/>
        <v>0.42857142857142855</v>
      </c>
      <c r="AA103" s="878">
        <f t="shared" si="20"/>
        <v>0.42857142857142855</v>
      </c>
      <c r="AB103" s="324"/>
      <c r="AC103" s="330" t="e">
        <f>+'Plan de Accion 2018'!BH156</f>
        <v>#DIV/0!</v>
      </c>
      <c r="AD103" s="331" t="str">
        <f>+'Plan de Accion 2018'!BS156</f>
        <v>No Prog ni Ejec</v>
      </c>
      <c r="AE103" s="870" t="s">
        <v>792</v>
      </c>
      <c r="AF103" s="777">
        <f>+'Plan de Accion 2018'!BJ156</f>
        <v>0.42857142857142855</v>
      </c>
      <c r="AG103" s="878">
        <f t="shared" si="19"/>
        <v>0.42857142857142855</v>
      </c>
      <c r="AH103" s="372"/>
      <c r="AI103" s="373"/>
      <c r="AJ103" s="374"/>
      <c r="AK103" s="375"/>
      <c r="AL103" s="376"/>
      <c r="AM103" s="374"/>
      <c r="AN103" s="375"/>
      <c r="AO103" s="376"/>
      <c r="AP103" s="374"/>
      <c r="AQ103" s="375"/>
      <c r="AR103" s="376"/>
      <c r="AS103" s="374"/>
      <c r="AT103" s="375"/>
      <c r="AU103" s="376"/>
      <c r="AV103" s="377"/>
      <c r="AW103" s="376"/>
      <c r="AX103" s="374"/>
      <c r="AY103" s="375"/>
      <c r="AZ103" s="376"/>
      <c r="BA103" s="374"/>
      <c r="BB103" s="375"/>
      <c r="BC103" s="376"/>
      <c r="BD103" s="374"/>
      <c r="BE103" s="375"/>
      <c r="BF103" s="376"/>
      <c r="BG103" s="374"/>
      <c r="BH103" s="375"/>
      <c r="BI103" s="376"/>
      <c r="BJ103" s="377"/>
      <c r="BL103" s="374"/>
      <c r="BM103" s="375"/>
      <c r="BN103" s="376"/>
      <c r="BO103" s="374"/>
      <c r="BP103" s="375"/>
      <c r="BQ103" s="376"/>
      <c r="BR103" s="374"/>
      <c r="BS103" s="375"/>
      <c r="BT103" s="376"/>
      <c r="BU103" s="374"/>
      <c r="BV103" s="375"/>
      <c r="BW103" s="376"/>
      <c r="BX103" s="377"/>
      <c r="BZ103" s="374"/>
      <c r="CA103" s="375"/>
      <c r="CB103" s="376"/>
      <c r="CC103" s="374"/>
      <c r="CD103" s="375"/>
      <c r="CE103" s="376"/>
      <c r="CF103" s="374"/>
      <c r="CG103" s="375"/>
      <c r="CH103" s="376"/>
      <c r="CI103" s="374"/>
      <c r="CJ103" s="375"/>
      <c r="CK103" s="376"/>
      <c r="CL103" s="377"/>
    </row>
    <row r="104" spans="2:94" s="299" customFormat="1" ht="57.75" customHeight="1" thickBot="1" x14ac:dyDescent="0.3">
      <c r="B104" s="1177"/>
      <c r="C104" s="1172"/>
      <c r="D104" s="1099" t="str">
        <f>+'Plan de Accion 2018'!F68</f>
        <v>Paquetes de recobros cuyo trámite de auditoría haya culminado, reconocidos y pagados por parte de ADRES.</v>
      </c>
      <c r="E104" s="1158" t="str">
        <f>+'Plan de Accion 2018'!B68</f>
        <v xml:space="preserve">Dirección de Otras Prestaciones  </v>
      </c>
      <c r="F104" s="1191"/>
      <c r="G104" s="335"/>
      <c r="H104" s="776">
        <f>+'Plan de Accion 2018'!AD68</f>
        <v>1.3111561756927597</v>
      </c>
      <c r="I104" s="777">
        <f>+'Plan de Accion 2018'!BM68</f>
        <v>1.3111561756927597</v>
      </c>
      <c r="J104" s="777">
        <f t="shared" si="21"/>
        <v>1</v>
      </c>
      <c r="K104" s="777">
        <f>+'Plan de Accion 2018'!AF68</f>
        <v>0.32778904392318992</v>
      </c>
      <c r="L104" s="777">
        <f t="shared" si="22"/>
        <v>0.25</v>
      </c>
      <c r="M104" s="1391">
        <f t="shared" si="23"/>
        <v>0.25</v>
      </c>
      <c r="N104" s="883">
        <v>1</v>
      </c>
      <c r="O104" s="776">
        <f>+'Plan de Accion 2018'!AN68</f>
        <v>1.1016043168834915</v>
      </c>
      <c r="P104" s="777">
        <f>+'Plan de Accion 2018'!BO68</f>
        <v>1.1016043168834915</v>
      </c>
      <c r="Q104" s="870">
        <f t="shared" si="13"/>
        <v>1</v>
      </c>
      <c r="R104" s="892">
        <f>+'Plan de Accion 2018'!AP68</f>
        <v>0.64754204105617508</v>
      </c>
      <c r="S104" s="892">
        <f t="shared" si="14"/>
        <v>0.5</v>
      </c>
      <c r="T104" s="878">
        <f t="shared" si="15"/>
        <v>0.5</v>
      </c>
      <c r="U104" s="883">
        <v>1</v>
      </c>
      <c r="V104" s="776">
        <f>+'Plan de Accion 2018'!AX68</f>
        <v>0</v>
      </c>
      <c r="W104" s="777">
        <f>+'Plan de Accion 2018'!BQ68</f>
        <v>0</v>
      </c>
      <c r="X104" s="870">
        <f t="shared" si="16"/>
        <v>0</v>
      </c>
      <c r="Y104" s="777">
        <f>+'Plan de Accion 2018'!AZ68</f>
        <v>0.64754204105617508</v>
      </c>
      <c r="Z104" s="892">
        <f t="shared" si="24"/>
        <v>0.64754204105617508</v>
      </c>
      <c r="AA104" s="878">
        <f t="shared" si="20"/>
        <v>0.64754204105617508</v>
      </c>
      <c r="AB104" s="324"/>
      <c r="AC104" s="330">
        <f>+'Plan de Accion 2018'!BH68</f>
        <v>0</v>
      </c>
      <c r="AD104" s="331">
        <f>+'Plan de Accion 2018'!BS68</f>
        <v>0</v>
      </c>
      <c r="AE104" s="870">
        <f t="shared" si="18"/>
        <v>0</v>
      </c>
      <c r="AF104" s="777">
        <f>+'Plan de Accion 2018'!BJ68</f>
        <v>0.64754204105617508</v>
      </c>
      <c r="AG104" s="878">
        <f t="shared" si="19"/>
        <v>0.64754204105617508</v>
      </c>
      <c r="AH104" s="372"/>
      <c r="AI104" s="373"/>
      <c r="AJ104" s="374"/>
      <c r="AK104" s="375"/>
      <c r="AL104" s="376"/>
      <c r="AM104" s="374"/>
      <c r="AN104" s="375"/>
      <c r="AO104" s="376"/>
      <c r="AP104" s="374"/>
      <c r="AQ104" s="375"/>
      <c r="AR104" s="376"/>
      <c r="AS104" s="374"/>
      <c r="AT104" s="375"/>
      <c r="AU104" s="376"/>
      <c r="AV104" s="377"/>
      <c r="AW104" s="376"/>
      <c r="AX104" s="374"/>
      <c r="AY104" s="375"/>
      <c r="AZ104" s="376"/>
      <c r="BA104" s="374"/>
      <c r="BB104" s="375"/>
      <c r="BC104" s="376"/>
      <c r="BD104" s="374"/>
      <c r="BE104" s="375"/>
      <c r="BF104" s="376"/>
      <c r="BG104" s="374"/>
      <c r="BH104" s="375"/>
      <c r="BI104" s="376"/>
      <c r="BJ104" s="377"/>
      <c r="BL104" s="374"/>
      <c r="BM104" s="375"/>
      <c r="BN104" s="376"/>
      <c r="BO104" s="374"/>
      <c r="BP104" s="375"/>
      <c r="BQ104" s="376"/>
      <c r="BR104" s="374"/>
      <c r="BS104" s="375"/>
      <c r="BT104" s="376"/>
      <c r="BU104" s="374"/>
      <c r="BV104" s="375"/>
      <c r="BW104" s="376"/>
      <c r="BX104" s="377"/>
      <c r="BZ104" s="374"/>
      <c r="CA104" s="375"/>
      <c r="CB104" s="376"/>
      <c r="CC104" s="374"/>
      <c r="CD104" s="375"/>
      <c r="CE104" s="376"/>
      <c r="CF104" s="374"/>
      <c r="CG104" s="375"/>
      <c r="CH104" s="376"/>
      <c r="CI104" s="374"/>
      <c r="CJ104" s="375"/>
      <c r="CK104" s="376"/>
      <c r="CL104" s="377"/>
    </row>
    <row r="105" spans="2:94" s="299" customFormat="1" ht="20.25" thickBot="1" x14ac:dyDescent="0.3">
      <c r="B105" s="1177"/>
      <c r="C105" s="1173"/>
      <c r="D105" s="1100"/>
      <c r="E105" s="1099"/>
      <c r="F105" s="1191"/>
      <c r="G105" s="335"/>
      <c r="H105" s="340" t="e">
        <f>+'Plan de Accion 2018'!AD69</f>
        <v>#DIV/0!</v>
      </c>
      <c r="I105" s="928" t="str">
        <f>+'Plan de Accion 2018'!BM69</f>
        <v>No Prog ni Ejec</v>
      </c>
      <c r="J105" s="928" t="s">
        <v>792</v>
      </c>
      <c r="K105" s="928">
        <f>+'Plan de Accion 2018'!AF69</f>
        <v>0</v>
      </c>
      <c r="L105" s="928">
        <f t="shared" si="22"/>
        <v>0</v>
      </c>
      <c r="M105" s="930" t="s">
        <v>792</v>
      </c>
      <c r="N105" s="883"/>
      <c r="O105" s="776" t="e">
        <f>+'Plan de Accion 2018'!AN69</f>
        <v>#DIV/0!</v>
      </c>
      <c r="P105" s="777" t="str">
        <f>+'Plan de Accion 2018'!BO69</f>
        <v>No Prog ni Ejec</v>
      </c>
      <c r="Q105" s="872" t="s">
        <v>792</v>
      </c>
      <c r="R105" s="892">
        <f>+'Plan de Accion 2018'!AP69</f>
        <v>0</v>
      </c>
      <c r="S105" s="891">
        <f t="shared" si="14"/>
        <v>0</v>
      </c>
      <c r="T105" s="878" t="s">
        <v>792</v>
      </c>
      <c r="U105" s="324"/>
      <c r="V105" s="776" t="e">
        <f>+'Plan de Accion 2018'!AX69</f>
        <v>#DIV/0!</v>
      </c>
      <c r="W105" s="777" t="str">
        <f>+'Plan de Accion 2018'!BQ69</f>
        <v>No Prog ni Ejec</v>
      </c>
      <c r="X105" s="870" t="s">
        <v>792</v>
      </c>
      <c r="Y105" s="777">
        <f>+'Plan de Accion 2018'!AZ69</f>
        <v>0</v>
      </c>
      <c r="Z105" s="892">
        <f t="shared" si="24"/>
        <v>0</v>
      </c>
      <c r="AA105" s="878" t="s">
        <v>792</v>
      </c>
      <c r="AB105" s="324"/>
      <c r="AC105" s="330">
        <f>+'Plan de Accion 2018'!BH69</f>
        <v>0</v>
      </c>
      <c r="AD105" s="331">
        <f>+'Plan de Accion 2018'!BS69</f>
        <v>0</v>
      </c>
      <c r="AE105" s="870">
        <f t="shared" si="18"/>
        <v>0</v>
      </c>
      <c r="AF105" s="777">
        <f>+'Plan de Accion 2018'!BJ69</f>
        <v>0</v>
      </c>
      <c r="AG105" s="878">
        <f t="shared" si="19"/>
        <v>0</v>
      </c>
      <c r="AH105" s="372"/>
      <c r="AI105" s="373"/>
      <c r="AJ105" s="374"/>
      <c r="AK105" s="375"/>
      <c r="AL105" s="376"/>
      <c r="AM105" s="374"/>
      <c r="AN105" s="375"/>
      <c r="AO105" s="376"/>
      <c r="AP105" s="374"/>
      <c r="AQ105" s="375"/>
      <c r="AR105" s="376"/>
      <c r="AS105" s="374"/>
      <c r="AT105" s="375"/>
      <c r="AU105" s="376"/>
      <c r="AV105" s="377"/>
      <c r="AW105" s="376"/>
      <c r="AX105" s="374"/>
      <c r="AY105" s="375"/>
      <c r="AZ105" s="376"/>
      <c r="BA105" s="374"/>
      <c r="BB105" s="375"/>
      <c r="BC105" s="376"/>
      <c r="BD105" s="374"/>
      <c r="BE105" s="375"/>
      <c r="BF105" s="376"/>
      <c r="BG105" s="374"/>
      <c r="BH105" s="375"/>
      <c r="BI105" s="376"/>
      <c r="BJ105" s="377"/>
      <c r="BL105" s="374"/>
      <c r="BM105" s="375"/>
      <c r="BN105" s="376"/>
      <c r="BO105" s="374"/>
      <c r="BP105" s="375"/>
      <c r="BQ105" s="376"/>
      <c r="BR105" s="374"/>
      <c r="BS105" s="375"/>
      <c r="BT105" s="376"/>
      <c r="BU105" s="374"/>
      <c r="BV105" s="375"/>
      <c r="BW105" s="376"/>
      <c r="BX105" s="377"/>
      <c r="BZ105" s="374"/>
      <c r="CA105" s="375"/>
      <c r="CB105" s="376"/>
      <c r="CC105" s="374"/>
      <c r="CD105" s="375"/>
      <c r="CE105" s="376"/>
      <c r="CF105" s="374"/>
      <c r="CG105" s="375"/>
      <c r="CH105" s="376"/>
      <c r="CI105" s="374"/>
      <c r="CJ105" s="375"/>
      <c r="CK105" s="376"/>
      <c r="CL105" s="377"/>
    </row>
    <row r="106" spans="2:94" s="299" customFormat="1" ht="20.25" thickBot="1" x14ac:dyDescent="0.3">
      <c r="B106" s="1179"/>
      <c r="C106" s="1154" t="s">
        <v>798</v>
      </c>
      <c r="D106" s="1155"/>
      <c r="E106" s="1155"/>
      <c r="F106" s="1156"/>
      <c r="G106" s="335"/>
      <c r="H106" s="358" t="s">
        <v>792</v>
      </c>
      <c r="I106" s="344">
        <f>SUM(I99:I105)/COUNT(I99:I105)</f>
        <v>0.62266960903634183</v>
      </c>
      <c r="J106" s="344">
        <f t="shared" si="21"/>
        <v>0.62266960903634183</v>
      </c>
      <c r="K106" s="1382">
        <f>SUM(K99:K101,K102,K103,K104,K105)/COUNT(K99:K101,K102,K103,K104,K105)</f>
        <v>0.17216680719224192</v>
      </c>
      <c r="L106" s="1382">
        <f>SUM(L99:L101,L102,L103,L104,L105)/COUNT(L99:L101,L102,L103,L104,L105)</f>
        <v>0.13554388255015357</v>
      </c>
      <c r="M106" s="419">
        <f t="shared" ref="L106:M106" si="25">SUM(M99:M101,M102,M103,M104,M105)/COUNT(M99:M101,M102,M103,M104,M105)</f>
        <v>0.15813452964184585</v>
      </c>
      <c r="N106" s="1406"/>
      <c r="O106" s="358" t="s">
        <v>792</v>
      </c>
      <c r="P106" s="876">
        <f>SUM(P99:P105)/COUNT(P99:P105)</f>
        <v>1.0435500483913867</v>
      </c>
      <c r="Q106" s="876">
        <f>SUM(Q99:Q105)/COUNT(Q99:Q105)</f>
        <v>0.71961751834802168</v>
      </c>
      <c r="R106" s="880">
        <f>SUM(R99:R105)/COUNT(R99:R105)</f>
        <v>0.32613925327983129</v>
      </c>
      <c r="S106" s="918">
        <f>SUM(S99:S105)/COUNT(S99:S105)</f>
        <v>0.30506181884323486</v>
      </c>
      <c r="T106" s="888">
        <f>SUM(T99:T105)/COUNT(T99:T105)</f>
        <v>0.35590545531710732</v>
      </c>
      <c r="U106" s="369"/>
      <c r="V106" s="358" t="s">
        <v>792</v>
      </c>
      <c r="W106" s="344">
        <f>SUM(W99:W105)/COUNT(W99:W105)</f>
        <v>0</v>
      </c>
      <c r="X106" s="344">
        <f>SUM(X99:X105)/COUNT(X99:X105)</f>
        <v>0</v>
      </c>
      <c r="Y106" s="876">
        <f>SUM(Y102:Y105,Y99:Y101)/COUNT(Y102:Y105,Y99:Y101)</f>
        <v>0.32613925327983129</v>
      </c>
      <c r="Z106" s="344">
        <f>SUM(Z102:Z105,Z99:Z101)/COUNT(Z102:Z105,Z99:Z101)</f>
        <v>0.32613925327983129</v>
      </c>
      <c r="AA106" s="346">
        <f>SUM(AA102:AA105,AA99:AA101)/COUNT(AA102:AA105,AA99:AA101)</f>
        <v>0.3804957954931365</v>
      </c>
      <c r="AB106" s="369"/>
      <c r="AC106" s="358" t="s">
        <v>792</v>
      </c>
      <c r="AD106" s="344">
        <f>SUM(AD99:AD105)/COUNT(AD99:AD105)</f>
        <v>0</v>
      </c>
      <c r="AE106" s="344">
        <f>SUM(AE99:AE105)/COUNT(AE99:AE105)</f>
        <v>0</v>
      </c>
      <c r="AF106" s="344">
        <f>SUM(AF102:AF105,AF99:AF101)/COUNT(AF102:AF105,AF99:AF101)</f>
        <v>0.32613925327983129</v>
      </c>
      <c r="AG106" s="344">
        <f>SUM(AG102:AG105,AG99:AG101)/COUNT(AG102:AG105,AG99:AG101)</f>
        <v>0.32613925327983129</v>
      </c>
      <c r="AH106" s="372"/>
      <c r="AI106" s="373"/>
      <c r="AJ106" s="374"/>
      <c r="AK106" s="375"/>
      <c r="AL106" s="376"/>
      <c r="AM106" s="374"/>
      <c r="AN106" s="375"/>
      <c r="AO106" s="376"/>
      <c r="AP106" s="374"/>
      <c r="AQ106" s="375"/>
      <c r="AR106" s="376"/>
      <c r="AS106" s="374"/>
      <c r="AT106" s="375"/>
      <c r="AU106" s="376"/>
      <c r="AV106" s="377"/>
      <c r="AW106" s="376"/>
      <c r="AX106" s="374"/>
      <c r="AY106" s="375"/>
      <c r="AZ106" s="376"/>
      <c r="BA106" s="374"/>
      <c r="BB106" s="375"/>
      <c r="BC106" s="376"/>
      <c r="BD106" s="374"/>
      <c r="BE106" s="375"/>
      <c r="BF106" s="376"/>
      <c r="BG106" s="374"/>
      <c r="BH106" s="375"/>
      <c r="BI106" s="376"/>
      <c r="BJ106" s="377"/>
      <c r="BL106" s="374"/>
      <c r="BM106" s="375"/>
      <c r="BN106" s="376"/>
      <c r="BO106" s="374"/>
      <c r="BP106" s="375"/>
      <c r="BQ106" s="376"/>
      <c r="BR106" s="374"/>
      <c r="BS106" s="375"/>
      <c r="BT106" s="376"/>
      <c r="BU106" s="374"/>
      <c r="BV106" s="375"/>
      <c r="BW106" s="376"/>
      <c r="BX106" s="377"/>
      <c r="BZ106" s="374"/>
      <c r="CA106" s="375"/>
      <c r="CB106" s="376"/>
      <c r="CC106" s="374"/>
      <c r="CD106" s="375"/>
      <c r="CE106" s="376"/>
      <c r="CF106" s="374"/>
      <c r="CG106" s="375"/>
      <c r="CH106" s="376"/>
      <c r="CI106" s="374"/>
      <c r="CJ106" s="375"/>
      <c r="CK106" s="376"/>
      <c r="CL106" s="377"/>
    </row>
    <row r="107" spans="2:94" ht="20.25" thickBot="1" x14ac:dyDescent="0.3">
      <c r="B107" s="1148" t="s">
        <v>799</v>
      </c>
      <c r="C107" s="1149"/>
      <c r="D107" s="1149"/>
      <c r="E107" s="1149"/>
      <c r="F107" s="1150"/>
      <c r="G107" s="378"/>
      <c r="H107" s="381" t="s">
        <v>792</v>
      </c>
      <c r="I107" s="382">
        <f>+(I37+I65+I77+I98+I106)/5</f>
        <v>0.64241142816052199</v>
      </c>
      <c r="J107" s="344">
        <f t="shared" si="21"/>
        <v>0.64241142816052199</v>
      </c>
      <c r="K107" s="382">
        <f>+(K65+K37+K77+K98+K106)/5</f>
        <v>0.119541967151093</v>
      </c>
      <c r="L107" s="1396">
        <f t="shared" si="22"/>
        <v>0.119541967151093</v>
      </c>
      <c r="M107" s="1397">
        <f t="shared" si="23"/>
        <v>0.119541967151093</v>
      </c>
      <c r="N107" s="1409"/>
      <c r="O107" s="381" t="s">
        <v>792</v>
      </c>
      <c r="P107" s="873">
        <f>(P37+P65+P77+P98+P106)/5</f>
        <v>0.6923697679339007</v>
      </c>
      <c r="Q107" s="873">
        <f>SUM(Q15:Q36,Q38:Q64,Q66:Q76,Q78:Q97,Q99:Q105)/COUNT(Q15:Q36,Q38:Q64,Q66:Q76,Q78:Q97,Q99:Q105)</f>
        <v>0.59208726438006409</v>
      </c>
      <c r="R107" s="894">
        <f>(R37+R65+R77+R98+R106)/5</f>
        <v>0.26457024459447837</v>
      </c>
      <c r="S107" s="919">
        <f>SUM(S15:S17,S18:S36,S38:S64,S66:S76,S78:S97,S99:S105)/COUNT(S15:S17,S18:S36,S38:S64,S66:S76,S78:S97,S99:S105)</f>
        <v>0.25823826783582532</v>
      </c>
      <c r="T107" s="895">
        <f>SUM(T15:T17,T18:T36,T38:T64,T66:T76,T78:T97,T99:T105)/COUNT(T15:T17,T18:T36,T38:T64,T66:T76,T78:T97,T99:T105)</f>
        <v>0.28615591841267135</v>
      </c>
      <c r="U107" s="380"/>
      <c r="V107" s="381" t="s">
        <v>792</v>
      </c>
      <c r="W107" s="873">
        <f>SUM(W15:W36,W38:W64,W66:W76,W78:W97,W99:W105)/COUNT(W15:W36,W38:W64,W66:W76,W78:W97,W99:W105)</f>
        <v>0</v>
      </c>
      <c r="X107" s="873">
        <f>SUM(X15:X36,X38:X64,X66:X76,X78:X97,X99:X105)/COUNT(X15:X36,X38:X64,X66:X76,X78:X97,X99:X105)</f>
        <v>0</v>
      </c>
      <c r="Y107" s="873">
        <f>SUM(Y15:Y17,Y18:Y36,Y38:Y64,Y66:Y76,Y78:Y97,Y99:Y105)/COUNT(Y15:Y17,Y18:Y36,Y38:Y64,Y66:Y76,Y78:Y97,Y99:Y105)</f>
        <v>0.27026807047008905</v>
      </c>
      <c r="Z107" s="382">
        <f>SUM(Z15:Z17,Z18:Z36,Z38:Z64,Z66:Z76,Z78:Z97,Z99:Z105)/COUNT(Z15:Z17,Z18:Z36,Z38:Z64,Z66:Z76,Z78:Z97,Z99:Z105)</f>
        <v>0.27026807047008905</v>
      </c>
      <c r="AA107" s="383">
        <f>SUM(AA15:AA17,AA18:AA36,AA38:AA64,AA66:AA76,AA78:AA97,AA99:AA105)/COUNT(AA15:AA17,AA18:AA36,AA38:AA64,AA66:AA76,AA78:AA97,AA99:AA105)</f>
        <v>0.2770247722318413</v>
      </c>
      <c r="AB107" s="380"/>
      <c r="AC107" s="381" t="s">
        <v>792</v>
      </c>
      <c r="AD107" s="873">
        <f>SUM(AD15:AD36,AD38:AD64,AD66:AD76,AD78:AD97,AD99:AD105)/COUNT(AD15:AD36,AD38:AD64,AD66:AD76,AD78:AD97,AD99:AD105)</f>
        <v>0</v>
      </c>
      <c r="AE107" s="873">
        <f>SUM(AE15:AE36,AE38:AE64,AE66:AE76,AE78:AE97,AE99:AE105)/COUNT(AE15:AE36,AE38:AE64,AE66:AE76,AE78:AE97,AE99:AE105)</f>
        <v>0</v>
      </c>
      <c r="AF107" s="382">
        <f>SUM(AF15:AF17,AF18:AF36,AF38:AF64,AF66:AF76,AF78:AF97,AF99:AF105)/COUNT(AF15:AF17,AF18:AF36,AF38:AF64,AF66:AF76,AF78:AF97,AF99:AF105)</f>
        <v>0.2691182476826845</v>
      </c>
      <c r="AG107" s="382">
        <f>SUM(AG15:AG17,AG18:AG36,AG38:AG64,AG66:AG76,AG78:AG97,AG99:AG105)/COUNT(AG15:AG17,AG18:AG36,AG38:AG64,AG66:AG76,AG78:AG97,AG99:AG105)</f>
        <v>0.2691182476826845</v>
      </c>
      <c r="AH107" s="362"/>
      <c r="AI107" s="363"/>
      <c r="AJ107" s="364"/>
      <c r="AK107" s="365"/>
      <c r="AL107" s="366"/>
      <c r="AM107" s="364"/>
      <c r="AN107" s="365"/>
      <c r="AO107" s="366"/>
      <c r="AP107" s="364"/>
      <c r="AQ107" s="365"/>
      <c r="AR107" s="366"/>
      <c r="AS107" s="364"/>
      <c r="AT107" s="365"/>
      <c r="AU107" s="367"/>
      <c r="AV107" s="368"/>
      <c r="AW107" s="367"/>
      <c r="AX107" s="364"/>
      <c r="AY107" s="365"/>
      <c r="AZ107" s="366"/>
      <c r="BA107" s="364"/>
      <c r="BB107" s="365"/>
      <c r="BC107" s="366"/>
      <c r="BD107" s="364"/>
      <c r="BE107" s="365"/>
      <c r="BF107" s="366"/>
      <c r="BG107" s="364"/>
      <c r="BH107" s="365"/>
      <c r="BI107" s="367"/>
      <c r="BJ107" s="368"/>
      <c r="BL107" s="364"/>
      <c r="BM107" s="365"/>
      <c r="BN107" s="366"/>
      <c r="BO107" s="364"/>
      <c r="BP107" s="365"/>
      <c r="BQ107" s="366"/>
      <c r="BR107" s="364"/>
      <c r="BS107" s="365"/>
      <c r="BT107" s="366"/>
      <c r="BU107" s="364"/>
      <c r="BV107" s="365"/>
      <c r="BW107" s="367"/>
      <c r="BX107" s="368"/>
      <c r="BZ107" s="364"/>
      <c r="CA107" s="365"/>
      <c r="CB107" s="366"/>
      <c r="CC107" s="364"/>
      <c r="CD107" s="365"/>
      <c r="CE107" s="366"/>
      <c r="CF107" s="364"/>
      <c r="CG107" s="365"/>
      <c r="CH107" s="366"/>
      <c r="CI107" s="364"/>
      <c r="CJ107" s="365"/>
      <c r="CK107" s="367"/>
      <c r="CL107" s="368"/>
    </row>
    <row r="108" spans="2:94" ht="42.75" x14ac:dyDescent="0.25">
      <c r="B108" s="1151" t="s">
        <v>807</v>
      </c>
      <c r="C108" s="1147" t="s">
        <v>256</v>
      </c>
      <c r="D108" s="360" t="str">
        <f>+'Plan de Accion 2018'!F95</f>
        <v>Informes de seguimiento a la ejecución presupuestal, PAC y Reservas</v>
      </c>
      <c r="E108" s="1100" t="str">
        <f>+'Plan de Accion 2018'!B95</f>
        <v>Dirección Administrativa y Financiera</v>
      </c>
      <c r="F108" s="361" t="str">
        <f>+'Plan de Accion 2018'!R95</f>
        <v># Ejecuciones Presupuestales Publicadas</v>
      </c>
      <c r="G108" s="378"/>
      <c r="H108" s="782">
        <f>+'Plan de Accion 2018'!AA95</f>
        <v>3</v>
      </c>
      <c r="I108" s="929">
        <f>+'Plan de Accion 2018'!BL95</f>
        <v>1</v>
      </c>
      <c r="J108" s="929">
        <f t="shared" si="21"/>
        <v>1</v>
      </c>
      <c r="K108" s="929">
        <f>+'Plan de Accion 2018'!AE95</f>
        <v>0.25</v>
      </c>
      <c r="L108" s="929">
        <f t="shared" si="22"/>
        <v>0.25</v>
      </c>
      <c r="M108" s="931">
        <f t="shared" si="23"/>
        <v>0.25</v>
      </c>
      <c r="N108" s="887"/>
      <c r="O108" s="782">
        <f>+'Plan de Accion 2018'!AK95</f>
        <v>3</v>
      </c>
      <c r="P108" s="892">
        <f>+'Plan de Accion 2018'!BN95</f>
        <v>1</v>
      </c>
      <c r="Q108" s="870">
        <f t="shared" si="13"/>
        <v>1</v>
      </c>
      <c r="R108" s="892">
        <f>+'Plan de Accion 2018'!AO95</f>
        <v>0.5</v>
      </c>
      <c r="S108" s="892">
        <f t="shared" si="14"/>
        <v>0.5</v>
      </c>
      <c r="T108" s="878">
        <f t="shared" si="15"/>
        <v>0.5</v>
      </c>
      <c r="U108" s="336"/>
      <c r="V108" s="322">
        <f>+'Plan de Accion 2018'!AU95</f>
        <v>0</v>
      </c>
      <c r="W108" s="892">
        <f>+'Plan de Accion 2018'!BP95</f>
        <v>0</v>
      </c>
      <c r="X108" s="870">
        <f t="shared" si="16"/>
        <v>0</v>
      </c>
      <c r="Y108" s="892">
        <f>+'Plan de Accion 2018'!AY95</f>
        <v>0.5</v>
      </c>
      <c r="Z108" s="892">
        <f t="shared" ref="Z108:Z121" si="26">IF(Y108&gt;75%,75%,Y108)</f>
        <v>0.5</v>
      </c>
      <c r="AA108" s="878">
        <f t="shared" si="20"/>
        <v>0.5</v>
      </c>
      <c r="AB108" s="336"/>
      <c r="AC108" s="322">
        <f>+'Plan de Accion 2018'!BE95</f>
        <v>0</v>
      </c>
      <c r="AD108" s="323">
        <f>+'Plan de Accion 2018'!BR95</f>
        <v>0</v>
      </c>
      <c r="AE108" s="870">
        <f t="shared" si="18"/>
        <v>0</v>
      </c>
      <c r="AF108" s="886">
        <f>+'Plan de Accion 2018'!BI95</f>
        <v>0.5</v>
      </c>
      <c r="AG108" s="878">
        <f t="shared" si="19"/>
        <v>0.5</v>
      </c>
      <c r="AH108" s="1118"/>
      <c r="AI108" s="363"/>
      <c r="AJ108" s="1109"/>
      <c r="AK108" s="1106"/>
      <c r="AL108" s="321"/>
      <c r="AM108" s="1109"/>
      <c r="AN108" s="1106"/>
      <c r="AO108" s="321"/>
      <c r="AP108" s="1109"/>
      <c r="AQ108" s="1106"/>
      <c r="AR108" s="321"/>
      <c r="AS108" s="1109"/>
      <c r="AT108" s="1106"/>
      <c r="AU108" s="328"/>
      <c r="AV108" s="1115"/>
      <c r="AW108" s="367"/>
      <c r="AX108" s="1109"/>
      <c r="AY108" s="1106"/>
      <c r="AZ108" s="321"/>
      <c r="BA108" s="1109"/>
      <c r="BB108" s="1106"/>
      <c r="BC108" s="321"/>
      <c r="BD108" s="1109"/>
      <c r="BE108" s="1106"/>
      <c r="BF108" s="321"/>
      <c r="BG108" s="1109"/>
      <c r="BH108" s="1106"/>
      <c r="BI108" s="328"/>
      <c r="BJ108" s="1115"/>
      <c r="BL108" s="1109"/>
      <c r="BM108" s="1106"/>
      <c r="BN108" s="321"/>
      <c r="BO108" s="1109"/>
      <c r="BP108" s="1106"/>
      <c r="BQ108" s="321"/>
      <c r="BR108" s="1109"/>
      <c r="BS108" s="1106"/>
      <c r="BT108" s="321"/>
      <c r="BU108" s="1109"/>
      <c r="BV108" s="1106"/>
      <c r="BW108" s="328"/>
      <c r="BX108" s="1115"/>
      <c r="BZ108" s="1109"/>
      <c r="CA108" s="1106"/>
      <c r="CB108" s="321"/>
      <c r="CC108" s="1109"/>
      <c r="CD108" s="1106"/>
      <c r="CE108" s="321"/>
      <c r="CF108" s="1109"/>
      <c r="CG108" s="1106"/>
      <c r="CH108" s="321"/>
      <c r="CI108" s="1109"/>
      <c r="CJ108" s="1106"/>
      <c r="CK108" s="328"/>
      <c r="CL108" s="1115"/>
    </row>
    <row r="109" spans="2:94" ht="42.75" x14ac:dyDescent="0.25">
      <c r="B109" s="1152"/>
      <c r="C109" s="1140"/>
      <c r="D109" s="332" t="str">
        <f>+'Plan de Accion 2018'!F96</f>
        <v>Estados Financieros (Balance General y Estado de Resultados) de la UGG</v>
      </c>
      <c r="E109" s="1158"/>
      <c r="F109" s="356" t="str">
        <f>+'Plan de Accion 2018'!R96</f>
        <v># Estados Financieros Presentados</v>
      </c>
      <c r="G109" s="378"/>
      <c r="H109" s="780">
        <f>+'Plan de Accion 2018'!AA96</f>
        <v>1</v>
      </c>
      <c r="I109" s="777">
        <f>+'Plan de Accion 2018'!BL96</f>
        <v>1</v>
      </c>
      <c r="J109" s="777">
        <f t="shared" si="21"/>
        <v>1</v>
      </c>
      <c r="K109" s="777">
        <f>+'Plan de Accion 2018'!AE96</f>
        <v>0.25</v>
      </c>
      <c r="L109" s="777">
        <f t="shared" si="22"/>
        <v>0.25</v>
      </c>
      <c r="M109" s="1391">
        <f t="shared" si="23"/>
        <v>0.25</v>
      </c>
      <c r="N109" s="887"/>
      <c r="O109" s="780">
        <f>+'Plan de Accion 2018'!AK96</f>
        <v>1</v>
      </c>
      <c r="P109" s="777">
        <f>+'Plan de Accion 2018'!BN96</f>
        <v>1</v>
      </c>
      <c r="Q109" s="870">
        <f t="shared" si="13"/>
        <v>1</v>
      </c>
      <c r="R109" s="892">
        <f>+'Plan de Accion 2018'!AO96</f>
        <v>0.5</v>
      </c>
      <c r="S109" s="892">
        <f t="shared" si="14"/>
        <v>0.5</v>
      </c>
      <c r="T109" s="878">
        <f t="shared" si="15"/>
        <v>0.5</v>
      </c>
      <c r="U109" s="336"/>
      <c r="V109" s="776">
        <f>+'Plan de Accion 2018'!AU96</f>
        <v>0</v>
      </c>
      <c r="W109" s="777">
        <f>+'Plan de Accion 2018'!BP96</f>
        <v>0</v>
      </c>
      <c r="X109" s="870">
        <f t="shared" si="16"/>
        <v>0</v>
      </c>
      <c r="Y109" s="777">
        <f>+'Plan de Accion 2018'!AY96</f>
        <v>0.5</v>
      </c>
      <c r="Z109" s="892">
        <f t="shared" si="26"/>
        <v>0.5</v>
      </c>
      <c r="AA109" s="878">
        <f t="shared" si="20"/>
        <v>0.5</v>
      </c>
      <c r="AB109" s="336"/>
      <c r="AC109" s="330">
        <f>+'Plan de Accion 2018'!BE96</f>
        <v>0</v>
      </c>
      <c r="AD109" s="331">
        <f>+'Plan de Accion 2018'!BR96</f>
        <v>0</v>
      </c>
      <c r="AE109" s="870">
        <f t="shared" si="18"/>
        <v>0</v>
      </c>
      <c r="AF109" s="777">
        <f>+'Plan de Accion 2018'!BI96</f>
        <v>0.5</v>
      </c>
      <c r="AG109" s="878">
        <f t="shared" si="19"/>
        <v>0.5</v>
      </c>
      <c r="AH109" s="1119"/>
      <c r="AI109" s="363"/>
      <c r="AJ109" s="1110"/>
      <c r="AK109" s="1107"/>
      <c r="AL109" s="321"/>
      <c r="AM109" s="1110"/>
      <c r="AN109" s="1107"/>
      <c r="AO109" s="321"/>
      <c r="AP109" s="1110"/>
      <c r="AQ109" s="1107"/>
      <c r="AR109" s="321"/>
      <c r="AS109" s="1110"/>
      <c r="AT109" s="1107"/>
      <c r="AU109" s="328"/>
      <c r="AV109" s="1116"/>
      <c r="AW109" s="367"/>
      <c r="AX109" s="1110"/>
      <c r="AY109" s="1107"/>
      <c r="AZ109" s="321"/>
      <c r="BA109" s="1110"/>
      <c r="BB109" s="1107"/>
      <c r="BC109" s="321"/>
      <c r="BD109" s="1110"/>
      <c r="BE109" s="1107"/>
      <c r="BF109" s="321"/>
      <c r="BG109" s="1110"/>
      <c r="BH109" s="1107"/>
      <c r="BI109" s="328"/>
      <c r="BJ109" s="1116"/>
      <c r="BL109" s="1110"/>
      <c r="BM109" s="1107"/>
      <c r="BN109" s="321"/>
      <c r="BO109" s="1110"/>
      <c r="BP109" s="1107"/>
      <c r="BQ109" s="321"/>
      <c r="BR109" s="1110"/>
      <c r="BS109" s="1107"/>
      <c r="BT109" s="321"/>
      <c r="BU109" s="1110"/>
      <c r="BV109" s="1107"/>
      <c r="BW109" s="328"/>
      <c r="BX109" s="1116"/>
      <c r="BZ109" s="1110"/>
      <c r="CA109" s="1107"/>
      <c r="CB109" s="321"/>
      <c r="CC109" s="1110"/>
      <c r="CD109" s="1107"/>
      <c r="CE109" s="321"/>
      <c r="CF109" s="1110"/>
      <c r="CG109" s="1107"/>
      <c r="CH109" s="321"/>
      <c r="CI109" s="1110"/>
      <c r="CJ109" s="1107"/>
      <c r="CK109" s="328"/>
      <c r="CL109" s="1116"/>
    </row>
    <row r="110" spans="2:94" ht="20.25" thickBot="1" x14ac:dyDescent="0.3">
      <c r="B110" s="1152"/>
      <c r="C110" s="1140"/>
      <c r="D110" s="332" t="str">
        <f>+'Plan de Accion 2018'!F97</f>
        <v>Operaciones Reciprocas</v>
      </c>
      <c r="E110" s="1158"/>
      <c r="F110" s="356" t="str">
        <f>+'Plan de Accion 2018'!R97</f>
        <v xml:space="preserve"># Informes Publicados </v>
      </c>
      <c r="G110" s="378"/>
      <c r="H110" s="780">
        <f>+'Plan de Accion 2018'!AA97</f>
        <v>1</v>
      </c>
      <c r="I110" s="777">
        <f>+'Plan de Accion 2018'!BL97</f>
        <v>1</v>
      </c>
      <c r="J110" s="777">
        <f t="shared" si="21"/>
        <v>1</v>
      </c>
      <c r="K110" s="777">
        <f>+'Plan de Accion 2018'!AE97</f>
        <v>0.25</v>
      </c>
      <c r="L110" s="777">
        <f t="shared" si="22"/>
        <v>0.25</v>
      </c>
      <c r="M110" s="1391">
        <f t="shared" si="23"/>
        <v>0.25</v>
      </c>
      <c r="N110" s="887"/>
      <c r="O110" s="780">
        <f>+'Plan de Accion 2018'!AK97</f>
        <v>1</v>
      </c>
      <c r="P110" s="777">
        <f>+'Plan de Accion 2018'!BN97</f>
        <v>1</v>
      </c>
      <c r="Q110" s="870">
        <f t="shared" si="13"/>
        <v>1</v>
      </c>
      <c r="R110" s="892">
        <f>+'Plan de Accion 2018'!AO97</f>
        <v>0.5</v>
      </c>
      <c r="S110" s="892">
        <f t="shared" si="14"/>
        <v>0.5</v>
      </c>
      <c r="T110" s="878">
        <f t="shared" si="15"/>
        <v>0.5</v>
      </c>
      <c r="U110" s="336"/>
      <c r="V110" s="776">
        <f>+'Plan de Accion 2018'!AU97</f>
        <v>0</v>
      </c>
      <c r="W110" s="777">
        <f>+'Plan de Accion 2018'!BP97</f>
        <v>0</v>
      </c>
      <c r="X110" s="870">
        <f t="shared" si="16"/>
        <v>0</v>
      </c>
      <c r="Y110" s="777">
        <f>+'Plan de Accion 2018'!AY97</f>
        <v>0.5</v>
      </c>
      <c r="Z110" s="892">
        <f t="shared" si="26"/>
        <v>0.5</v>
      </c>
      <c r="AA110" s="878">
        <f t="shared" si="20"/>
        <v>0.5</v>
      </c>
      <c r="AB110" s="336"/>
      <c r="AC110" s="330">
        <f>+'Plan de Accion 2018'!BE97</f>
        <v>0</v>
      </c>
      <c r="AD110" s="331">
        <f>+'Plan de Accion 2018'!BR97</f>
        <v>0</v>
      </c>
      <c r="AE110" s="870">
        <f t="shared" si="18"/>
        <v>0</v>
      </c>
      <c r="AF110" s="777">
        <f>+'Plan de Accion 2018'!BI97</f>
        <v>0.5</v>
      </c>
      <c r="AG110" s="878">
        <f t="shared" si="19"/>
        <v>0.5</v>
      </c>
      <c r="AH110" s="1120"/>
      <c r="AI110" s="363"/>
      <c r="AJ110" s="1111"/>
      <c r="AK110" s="1108"/>
      <c r="AL110" s="321"/>
      <c r="AM110" s="1111"/>
      <c r="AN110" s="1108"/>
      <c r="AO110" s="321"/>
      <c r="AP110" s="1111"/>
      <c r="AQ110" s="1108"/>
      <c r="AR110" s="321"/>
      <c r="AS110" s="1111"/>
      <c r="AT110" s="1108"/>
      <c r="AU110" s="328"/>
      <c r="AV110" s="1117"/>
      <c r="AW110" s="367"/>
      <c r="AX110" s="1111"/>
      <c r="AY110" s="1108"/>
      <c r="AZ110" s="321"/>
      <c r="BA110" s="1111"/>
      <c r="BB110" s="1108"/>
      <c r="BC110" s="321"/>
      <c r="BD110" s="1111"/>
      <c r="BE110" s="1108"/>
      <c r="BF110" s="321"/>
      <c r="BG110" s="1111"/>
      <c r="BH110" s="1108"/>
      <c r="BI110" s="328"/>
      <c r="BJ110" s="1117"/>
      <c r="BL110" s="1111"/>
      <c r="BM110" s="1108"/>
      <c r="BN110" s="321"/>
      <c r="BO110" s="1111"/>
      <c r="BP110" s="1108"/>
      <c r="BQ110" s="321"/>
      <c r="BR110" s="1111"/>
      <c r="BS110" s="1108"/>
      <c r="BT110" s="321"/>
      <c r="BU110" s="1111"/>
      <c r="BV110" s="1108"/>
      <c r="BW110" s="328"/>
      <c r="BX110" s="1117"/>
      <c r="BZ110" s="1111"/>
      <c r="CA110" s="1108"/>
      <c r="CB110" s="321"/>
      <c r="CC110" s="1111"/>
      <c r="CD110" s="1108"/>
      <c r="CE110" s="321"/>
      <c r="CF110" s="1111"/>
      <c r="CG110" s="1108"/>
      <c r="CH110" s="321"/>
      <c r="CI110" s="1111"/>
      <c r="CJ110" s="1108"/>
      <c r="CK110" s="328"/>
      <c r="CL110" s="1117"/>
    </row>
    <row r="111" spans="2:94" ht="71.25" x14ac:dyDescent="0.25">
      <c r="B111" s="1152"/>
      <c r="C111" s="1140"/>
      <c r="D111" s="332" t="str">
        <f>+'Plan de Accion 2018'!F98</f>
        <v>Cuentas de cobro generadas con los debidos soportes documentales</v>
      </c>
      <c r="E111" s="1158"/>
      <c r="F111" s="356" t="str">
        <f>+'Plan de Accion 2018'!R98</f>
        <v># Cuentas de Cobro con Soportes Documentales radicadas en el mes / # Pagos de las Cuentas de Cobro radicadas en el mes</v>
      </c>
      <c r="G111" s="378"/>
      <c r="H111" s="776">
        <f>+'Plan de Accion 2018'!AA98</f>
        <v>0.24829351535836178</v>
      </c>
      <c r="I111" s="777">
        <f>+'Plan de Accion 2018'!BL98</f>
        <v>0.99317406143344711</v>
      </c>
      <c r="J111" s="777">
        <f t="shared" si="21"/>
        <v>0.99317406143344711</v>
      </c>
      <c r="K111" s="777">
        <f>+'Plan de Accion 2018'!AE98</f>
        <v>0.24829351535836178</v>
      </c>
      <c r="L111" s="777">
        <f t="shared" si="22"/>
        <v>0.24829351535836178</v>
      </c>
      <c r="M111" s="1391">
        <f t="shared" si="23"/>
        <v>0.24829351535836178</v>
      </c>
      <c r="N111" s="887"/>
      <c r="O111" s="776">
        <f>+'Plan de Accion 2018'!AK98</f>
        <v>0.25154320987654322</v>
      </c>
      <c r="P111" s="777">
        <f>+'Plan de Accion 2018'!BN98</f>
        <v>1.0061728395061729</v>
      </c>
      <c r="Q111" s="870">
        <f t="shared" si="13"/>
        <v>1</v>
      </c>
      <c r="R111" s="892">
        <f>+'Plan de Accion 2018'!AO98</f>
        <v>0.49983672523490497</v>
      </c>
      <c r="S111" s="892">
        <f t="shared" si="14"/>
        <v>0.49983672523490497</v>
      </c>
      <c r="T111" s="878">
        <f>+S111</f>
        <v>0.49983672523490497</v>
      </c>
      <c r="U111" s="336">
        <v>1</v>
      </c>
      <c r="V111" s="776">
        <f>+'Plan de Accion 2018'!AU98</f>
        <v>0</v>
      </c>
      <c r="W111" s="777">
        <f>+'Plan de Accion 2018'!BP98</f>
        <v>0</v>
      </c>
      <c r="X111" s="870">
        <f t="shared" si="16"/>
        <v>0</v>
      </c>
      <c r="Y111" s="777">
        <f>+'Plan de Accion 2018'!AY98</f>
        <v>0.49983672523490497</v>
      </c>
      <c r="Z111" s="892">
        <f t="shared" si="26"/>
        <v>0.49983672523490497</v>
      </c>
      <c r="AA111" s="878">
        <f t="shared" si="20"/>
        <v>0.49983672523490497</v>
      </c>
      <c r="AB111" s="336"/>
      <c r="AC111" s="330">
        <f>+'Plan de Accion 2018'!BE98</f>
        <v>0</v>
      </c>
      <c r="AD111" s="331">
        <f>+'Plan de Accion 2018'!BR98</f>
        <v>0</v>
      </c>
      <c r="AE111" s="870">
        <f t="shared" si="18"/>
        <v>0</v>
      </c>
      <c r="AF111" s="777">
        <f>+'Plan de Accion 2018'!BI98</f>
        <v>0.49983672523490497</v>
      </c>
      <c r="AG111" s="878">
        <f t="shared" si="19"/>
        <v>0.49983672523490497</v>
      </c>
      <c r="AH111" s="1118"/>
      <c r="AI111" s="363"/>
      <c r="AJ111" s="1121" t="e">
        <f>+#REF!</f>
        <v>#REF!</v>
      </c>
      <c r="AK111" s="1106" t="e">
        <f>+AJ111/#REF!</f>
        <v>#REF!</v>
      </c>
      <c r="AL111" s="321"/>
      <c r="AM111" s="1121" t="e">
        <f>+#REF!</f>
        <v>#REF!</v>
      </c>
      <c r="AN111" s="1106" t="e">
        <f>+AM111/#REF!</f>
        <v>#REF!</v>
      </c>
      <c r="AO111" s="321"/>
      <c r="AP111" s="1121" t="e">
        <f>+#REF!</f>
        <v>#REF!</v>
      </c>
      <c r="AQ111" s="1106" t="e">
        <f>+AP111/#REF!</f>
        <v>#REF!</v>
      </c>
      <c r="AR111" s="321"/>
      <c r="AS111" s="1121" t="e">
        <f>+#REF!</f>
        <v>#REF!</v>
      </c>
      <c r="AT111" s="1106" t="e">
        <f>+AS111/#REF!</f>
        <v>#REF!</v>
      </c>
      <c r="AU111" s="328"/>
      <c r="AV111" s="1115"/>
      <c r="AW111" s="367"/>
      <c r="AX111" s="1121" t="e">
        <f>+#REF!</f>
        <v>#REF!</v>
      </c>
      <c r="AY111" s="1106" t="e">
        <f>+AX111/#REF!</f>
        <v>#REF!</v>
      </c>
      <c r="AZ111" s="321"/>
      <c r="BA111" s="1121" t="e">
        <f>+#REF!</f>
        <v>#REF!</v>
      </c>
      <c r="BB111" s="1106" t="e">
        <f>+BA111/#REF!</f>
        <v>#REF!</v>
      </c>
      <c r="BC111" s="321"/>
      <c r="BD111" s="1121" t="e">
        <f>+#REF!</f>
        <v>#REF!</v>
      </c>
      <c r="BE111" s="1106" t="e">
        <f>+BD111/#REF!</f>
        <v>#REF!</v>
      </c>
      <c r="BF111" s="321"/>
      <c r="BG111" s="1121" t="e">
        <f>+#REF!</f>
        <v>#REF!</v>
      </c>
      <c r="BH111" s="1106" t="e">
        <f>+BG111/#REF!</f>
        <v>#REF!</v>
      </c>
      <c r="BI111" s="328"/>
      <c r="BJ111" s="1115"/>
      <c r="BL111" s="1121" t="e">
        <f>+#REF!</f>
        <v>#REF!</v>
      </c>
      <c r="BM111" s="1106" t="e">
        <f>+BL111/#REF!</f>
        <v>#REF!</v>
      </c>
      <c r="BN111" s="321"/>
      <c r="BO111" s="1121" t="e">
        <f>+#REF!</f>
        <v>#REF!</v>
      </c>
      <c r="BP111" s="1106" t="e">
        <f>+BO111/#REF!</f>
        <v>#REF!</v>
      </c>
      <c r="BQ111" s="321"/>
      <c r="BR111" s="1121" t="e">
        <f>+#REF!</f>
        <v>#REF!</v>
      </c>
      <c r="BS111" s="1106" t="e">
        <f>+BR111/#REF!</f>
        <v>#REF!</v>
      </c>
      <c r="BT111" s="321"/>
      <c r="BU111" s="1121" t="e">
        <f>+#REF!</f>
        <v>#REF!</v>
      </c>
      <c r="BV111" s="1106" t="e">
        <f>+BU111/#REF!</f>
        <v>#REF!</v>
      </c>
      <c r="BW111" s="328"/>
      <c r="BX111" s="1115"/>
      <c r="BZ111" s="1121" t="e">
        <f>+#REF!</f>
        <v>#REF!</v>
      </c>
      <c r="CA111" s="1106" t="e">
        <f>+BZ111/#REF!</f>
        <v>#REF!</v>
      </c>
      <c r="CB111" s="321"/>
      <c r="CC111" s="1121" t="e">
        <f>+#REF!</f>
        <v>#REF!</v>
      </c>
      <c r="CD111" s="1106" t="e">
        <f>+CC111/#REF!</f>
        <v>#REF!</v>
      </c>
      <c r="CE111" s="321"/>
      <c r="CF111" s="1121" t="e">
        <f>+#REF!</f>
        <v>#REF!</v>
      </c>
      <c r="CG111" s="1106" t="e">
        <f>+CF111/#REF!</f>
        <v>#REF!</v>
      </c>
      <c r="CH111" s="321"/>
      <c r="CI111" s="1121" t="e">
        <f>+#REF!</f>
        <v>#REF!</v>
      </c>
      <c r="CJ111" s="1106" t="e">
        <f>+CI111/#REF!</f>
        <v>#REF!</v>
      </c>
      <c r="CK111" s="328"/>
      <c r="CL111" s="1115"/>
    </row>
    <row r="112" spans="2:94" ht="57" x14ac:dyDescent="0.25">
      <c r="B112" s="1152"/>
      <c r="C112" s="1140"/>
      <c r="D112" s="332" t="str">
        <f>+'Plan de Accion 2018'!F107</f>
        <v xml:space="preserve">Publicación Diario Oficial y diario de Amplia Circulación </v>
      </c>
      <c r="E112" s="1158"/>
      <c r="F112" s="356" t="str">
        <f>+'Plan de Accion 2018'!R107</f>
        <v># Actos Administrativos Publicados / # Actos Administrativos Recibidos para  Publicar</v>
      </c>
      <c r="G112" s="378"/>
      <c r="H112" s="776">
        <f>+'Plan de Accion 2018'!AA107</f>
        <v>1</v>
      </c>
      <c r="I112" s="777" t="str">
        <f>+'Plan de Accion 2018'!BL107</f>
        <v>No Prog, Ejec=  1</v>
      </c>
      <c r="J112" s="777">
        <f t="shared" si="21"/>
        <v>1</v>
      </c>
      <c r="K112" s="777">
        <f>+'Plan de Accion 2018'!AE107</f>
        <v>1</v>
      </c>
      <c r="L112" s="777">
        <f t="shared" si="22"/>
        <v>0.25</v>
      </c>
      <c r="M112" s="1391">
        <f t="shared" si="23"/>
        <v>0.25</v>
      </c>
      <c r="N112" s="887"/>
      <c r="O112" s="776">
        <f>+'Plan de Accion 2018'!AK107</f>
        <v>0</v>
      </c>
      <c r="P112" s="777">
        <f>+'Plan de Accion 2018'!BN107</f>
        <v>0</v>
      </c>
      <c r="Q112" s="870">
        <f t="shared" si="13"/>
        <v>0</v>
      </c>
      <c r="R112" s="892">
        <f>+'Plan de Accion 2018'!AO107</f>
        <v>0.5</v>
      </c>
      <c r="S112" s="892">
        <f t="shared" si="14"/>
        <v>0.5</v>
      </c>
      <c r="T112" s="878">
        <f t="shared" si="15"/>
        <v>0.5</v>
      </c>
      <c r="U112" s="336"/>
      <c r="V112" s="776">
        <f>+'Plan de Accion 2018'!AU107</f>
        <v>0</v>
      </c>
      <c r="W112" s="777" t="str">
        <f>+'Plan de Accion 2018'!BP107</f>
        <v>No Prog ni Ejec</v>
      </c>
      <c r="X112" s="870" t="s">
        <v>792</v>
      </c>
      <c r="Y112" s="777">
        <f>+'Plan de Accion 2018'!AY107</f>
        <v>1</v>
      </c>
      <c r="Z112" s="892">
        <f t="shared" si="26"/>
        <v>0.75</v>
      </c>
      <c r="AA112" s="878">
        <f t="shared" si="20"/>
        <v>0.75</v>
      </c>
      <c r="AB112" s="336"/>
      <c r="AC112" s="330">
        <f>+'Plan de Accion 2018'!BE107</f>
        <v>0</v>
      </c>
      <c r="AD112" s="331">
        <f>+'Plan de Accion 2018'!BR107</f>
        <v>0</v>
      </c>
      <c r="AE112" s="870">
        <f t="shared" si="18"/>
        <v>0</v>
      </c>
      <c r="AF112" s="777">
        <f>+'Plan de Accion 2018'!BI107</f>
        <v>1</v>
      </c>
      <c r="AG112" s="878">
        <f t="shared" si="19"/>
        <v>1</v>
      </c>
      <c r="AH112" s="1119"/>
      <c r="AI112" s="363"/>
      <c r="AJ112" s="1122"/>
      <c r="AK112" s="1107"/>
      <c r="AL112" s="321"/>
      <c r="AM112" s="1122"/>
      <c r="AN112" s="1107"/>
      <c r="AO112" s="321"/>
      <c r="AP112" s="1122"/>
      <c r="AQ112" s="1107"/>
      <c r="AR112" s="321"/>
      <c r="AS112" s="1122"/>
      <c r="AT112" s="1107"/>
      <c r="AU112" s="328"/>
      <c r="AV112" s="1116"/>
      <c r="AW112" s="367"/>
      <c r="AX112" s="1122"/>
      <c r="AY112" s="1107"/>
      <c r="AZ112" s="321"/>
      <c r="BA112" s="1122"/>
      <c r="BB112" s="1107"/>
      <c r="BC112" s="321"/>
      <c r="BD112" s="1122"/>
      <c r="BE112" s="1107"/>
      <c r="BF112" s="321"/>
      <c r="BG112" s="1122"/>
      <c r="BH112" s="1107"/>
      <c r="BI112" s="328"/>
      <c r="BJ112" s="1116"/>
      <c r="BL112" s="1122"/>
      <c r="BM112" s="1107"/>
      <c r="BN112" s="321"/>
      <c r="BO112" s="1122"/>
      <c r="BP112" s="1107"/>
      <c r="BQ112" s="321"/>
      <c r="BR112" s="1122"/>
      <c r="BS112" s="1107"/>
      <c r="BT112" s="321"/>
      <c r="BU112" s="1122"/>
      <c r="BV112" s="1107"/>
      <c r="BW112" s="328"/>
      <c r="BX112" s="1116"/>
      <c r="BZ112" s="1122"/>
      <c r="CA112" s="1107"/>
      <c r="CB112" s="321"/>
      <c r="CC112" s="1122"/>
      <c r="CD112" s="1107"/>
      <c r="CE112" s="321"/>
      <c r="CF112" s="1122"/>
      <c r="CG112" s="1107"/>
      <c r="CH112" s="321"/>
      <c r="CI112" s="1122"/>
      <c r="CJ112" s="1107"/>
      <c r="CK112" s="328"/>
      <c r="CL112" s="1116"/>
    </row>
    <row r="113" spans="2:90" s="775" customFormat="1" ht="57" x14ac:dyDescent="0.25">
      <c r="B113" s="1152"/>
      <c r="C113" s="1140"/>
      <c r="D113" s="755" t="str">
        <f>+'Plan de Accion 2018'!F112</f>
        <v xml:space="preserve">Garantizar la gestión de Servicio al ciudadano de la entidad  por los diferentes canales  de atención.. </v>
      </c>
      <c r="E113" s="1158"/>
      <c r="F113" s="356" t="str">
        <f>+'Plan de Accion 2018'!R112</f>
        <v># Obligaciones cumplidas en el período /# Obligaciones establecidas en el CPS 0014 de 2018</v>
      </c>
      <c r="G113" s="378"/>
      <c r="H113" s="776">
        <f>+'Plan de Accion 2018'!AA112</f>
        <v>0.25</v>
      </c>
      <c r="I113" s="777">
        <f>+'Plan de Accion 2018'!BL112</f>
        <v>1</v>
      </c>
      <c r="J113" s="777">
        <f t="shared" si="21"/>
        <v>1</v>
      </c>
      <c r="K113" s="777">
        <f>+'Plan de Accion 2018'!AE112</f>
        <v>0.25</v>
      </c>
      <c r="L113" s="777">
        <f t="shared" si="22"/>
        <v>0.25</v>
      </c>
      <c r="M113" s="1391">
        <f t="shared" si="23"/>
        <v>0.25</v>
      </c>
      <c r="N113" s="887"/>
      <c r="O113" s="776">
        <f>+'Plan de Accion 2018'!AK112</f>
        <v>0.25</v>
      </c>
      <c r="P113" s="777">
        <f>+'Plan de Accion 2018'!BN112</f>
        <v>1</v>
      </c>
      <c r="Q113" s="870">
        <f t="shared" si="13"/>
        <v>1</v>
      </c>
      <c r="R113" s="892">
        <f>+'Plan de Accion 2018'!AO112</f>
        <v>0.5</v>
      </c>
      <c r="S113" s="892">
        <f t="shared" si="14"/>
        <v>0.5</v>
      </c>
      <c r="T113" s="878">
        <f t="shared" si="15"/>
        <v>0.5</v>
      </c>
      <c r="U113" s="336"/>
      <c r="V113" s="776">
        <f>+'Plan de Accion 2018'!AU112</f>
        <v>0</v>
      </c>
      <c r="W113" s="777">
        <f>+'Plan de Accion 2018'!BP112</f>
        <v>0</v>
      </c>
      <c r="X113" s="870">
        <f t="shared" si="16"/>
        <v>0</v>
      </c>
      <c r="Y113" s="777">
        <f>+'Plan de Accion 2018'!AY112</f>
        <v>0.5</v>
      </c>
      <c r="Z113" s="892">
        <f t="shared" si="26"/>
        <v>0.5</v>
      </c>
      <c r="AA113" s="878">
        <f t="shared" si="20"/>
        <v>0.5</v>
      </c>
      <c r="AB113" s="336"/>
      <c r="AC113" s="776">
        <f>+'Plan de Accion 2018'!BE112</f>
        <v>0</v>
      </c>
      <c r="AD113" s="777">
        <f>+'Plan de Accion 2018'!BR112</f>
        <v>0</v>
      </c>
      <c r="AE113" s="870">
        <f t="shared" si="18"/>
        <v>0</v>
      </c>
      <c r="AF113" s="777">
        <f>+'Plan de Accion 2018'!BI112</f>
        <v>0.5</v>
      </c>
      <c r="AG113" s="878">
        <f t="shared" si="19"/>
        <v>0.5</v>
      </c>
      <c r="AH113" s="1119"/>
      <c r="AI113" s="363"/>
      <c r="AJ113" s="1122"/>
      <c r="AK113" s="1107"/>
      <c r="AL113" s="321"/>
      <c r="AM113" s="1122"/>
      <c r="AN113" s="1107"/>
      <c r="AO113" s="321"/>
      <c r="AP113" s="1122"/>
      <c r="AQ113" s="1107"/>
      <c r="AR113" s="321"/>
      <c r="AS113" s="1122"/>
      <c r="AT113" s="1107"/>
      <c r="AU113" s="328"/>
      <c r="AV113" s="1116"/>
      <c r="AW113" s="367"/>
      <c r="AX113" s="1122"/>
      <c r="AY113" s="1107"/>
      <c r="AZ113" s="321"/>
      <c r="BA113" s="1122"/>
      <c r="BB113" s="1107"/>
      <c r="BC113" s="321"/>
      <c r="BD113" s="1122"/>
      <c r="BE113" s="1107"/>
      <c r="BF113" s="321"/>
      <c r="BG113" s="1122"/>
      <c r="BH113" s="1107"/>
      <c r="BI113" s="328"/>
      <c r="BJ113" s="1116"/>
      <c r="BL113" s="1122"/>
      <c r="BM113" s="1107"/>
      <c r="BN113" s="321"/>
      <c r="BO113" s="1122"/>
      <c r="BP113" s="1107"/>
      <c r="BQ113" s="321"/>
      <c r="BR113" s="1122"/>
      <c r="BS113" s="1107"/>
      <c r="BT113" s="321"/>
      <c r="BU113" s="1122"/>
      <c r="BV113" s="1107"/>
      <c r="BW113" s="328"/>
      <c r="BX113" s="1116"/>
      <c r="BZ113" s="1122"/>
      <c r="CA113" s="1107"/>
      <c r="CB113" s="321"/>
      <c r="CC113" s="1122"/>
      <c r="CD113" s="1107"/>
      <c r="CE113" s="321"/>
      <c r="CF113" s="1122"/>
      <c r="CG113" s="1107"/>
      <c r="CH113" s="321"/>
      <c r="CI113" s="1122"/>
      <c r="CJ113" s="1107"/>
      <c r="CK113" s="328"/>
      <c r="CL113" s="1116"/>
    </row>
    <row r="114" spans="2:90" ht="100.5" thickBot="1" x14ac:dyDescent="0.3">
      <c r="B114" s="1152"/>
      <c r="C114" s="1140"/>
      <c r="D114" s="332" t="str">
        <f>+'Plan de Accion 2018'!F111</f>
        <v>Fortalecimiento de canales de atención al ciudadano con el fin de brindar la atención, respuesta inmediata, seguimiento a solicitudes de los ciudadanos, empresas y servidores públicos. Call Center .</v>
      </c>
      <c r="E114" s="1158"/>
      <c r="F114" s="356" t="str">
        <f>+'Plan de Accion 2018'!R111</f>
        <v># llamadas atendidas / # llamadas entrantes</v>
      </c>
      <c r="G114" s="378"/>
      <c r="H114" s="776">
        <f>+'Plan de Accion 2018'!AA111</f>
        <v>0.19947289680606778</v>
      </c>
      <c r="I114" s="777">
        <f>+'Plan de Accion 2018'!BL111</f>
        <v>0.83988588128870645</v>
      </c>
      <c r="J114" s="777">
        <f t="shared" si="21"/>
        <v>0.83988588128870645</v>
      </c>
      <c r="K114" s="777">
        <f>+'Plan de Accion 2018'!AE111</f>
        <v>0.20997147032217661</v>
      </c>
      <c r="L114" s="777">
        <f t="shared" si="22"/>
        <v>0.20997147032217661</v>
      </c>
      <c r="M114" s="1391">
        <f t="shared" si="23"/>
        <v>0.20997147032217661</v>
      </c>
      <c r="N114" s="887"/>
      <c r="O114" s="776">
        <f>+'Plan de Accion 2018'!AK111</f>
        <v>0.21065492021276597</v>
      </c>
      <c r="P114" s="777">
        <f>+'Plan de Accion 2018'!BN111</f>
        <v>0.88696808510638303</v>
      </c>
      <c r="Q114" s="870">
        <f t="shared" si="13"/>
        <v>0.88696808510638303</v>
      </c>
      <c r="R114" s="892">
        <f>+'Plan de Accion 2018'!AO111</f>
        <v>0.43171349159877237</v>
      </c>
      <c r="S114" s="892">
        <f t="shared" si="14"/>
        <v>0.43171349159877237</v>
      </c>
      <c r="T114" s="878">
        <f t="shared" si="15"/>
        <v>0.43171349159877237</v>
      </c>
      <c r="U114" s="336"/>
      <c r="V114" s="776">
        <f>+'Plan de Accion 2018'!AU111</f>
        <v>0</v>
      </c>
      <c r="W114" s="777">
        <f>+'Plan de Accion 2018'!BP111</f>
        <v>0</v>
      </c>
      <c r="X114" s="870">
        <f t="shared" si="16"/>
        <v>0</v>
      </c>
      <c r="Y114" s="777">
        <f>+'Plan de Accion 2018'!AY111</f>
        <v>0.43171349159877237</v>
      </c>
      <c r="Z114" s="892">
        <f t="shared" si="26"/>
        <v>0.43171349159877237</v>
      </c>
      <c r="AA114" s="878">
        <f t="shared" si="20"/>
        <v>0.43171349159877237</v>
      </c>
      <c r="AB114" s="336"/>
      <c r="AC114" s="330">
        <f>+'Plan de Accion 2018'!BE111</f>
        <v>0</v>
      </c>
      <c r="AD114" s="331">
        <f>+'Plan de Accion 2018'!BR111</f>
        <v>0</v>
      </c>
      <c r="AE114" s="870">
        <f t="shared" si="18"/>
        <v>0</v>
      </c>
      <c r="AF114" s="777">
        <f>+'Plan de Accion 2018'!BI111</f>
        <v>0.43171349159877237</v>
      </c>
      <c r="AG114" s="878">
        <f t="shared" si="19"/>
        <v>0.43171349159877237</v>
      </c>
      <c r="AH114" s="1120"/>
      <c r="AI114" s="363"/>
      <c r="AJ114" s="1123"/>
      <c r="AK114" s="1108"/>
      <c r="AL114" s="321"/>
      <c r="AM114" s="1123"/>
      <c r="AN114" s="1108"/>
      <c r="AO114" s="321"/>
      <c r="AP114" s="1123"/>
      <c r="AQ114" s="1108"/>
      <c r="AR114" s="321"/>
      <c r="AS114" s="1123"/>
      <c r="AT114" s="1108"/>
      <c r="AU114" s="328"/>
      <c r="AV114" s="1117"/>
      <c r="AW114" s="367"/>
      <c r="AX114" s="1123"/>
      <c r="AY114" s="1108"/>
      <c r="AZ114" s="321"/>
      <c r="BA114" s="1123"/>
      <c r="BB114" s="1108"/>
      <c r="BC114" s="321"/>
      <c r="BD114" s="1123"/>
      <c r="BE114" s="1108"/>
      <c r="BF114" s="321"/>
      <c r="BG114" s="1123"/>
      <c r="BH114" s="1108"/>
      <c r="BI114" s="328"/>
      <c r="BJ114" s="1117"/>
      <c r="BL114" s="1123"/>
      <c r="BM114" s="1108"/>
      <c r="BN114" s="321"/>
      <c r="BO114" s="1123"/>
      <c r="BP114" s="1108"/>
      <c r="BQ114" s="321"/>
      <c r="BR114" s="1123"/>
      <c r="BS114" s="1108"/>
      <c r="BT114" s="321"/>
      <c r="BU114" s="1123"/>
      <c r="BV114" s="1108"/>
      <c r="BW114" s="328"/>
      <c r="BX114" s="1117"/>
      <c r="BZ114" s="1123"/>
      <c r="CA114" s="1108"/>
      <c r="CB114" s="321"/>
      <c r="CC114" s="1123"/>
      <c r="CD114" s="1108"/>
      <c r="CE114" s="321"/>
      <c r="CF114" s="1123"/>
      <c r="CG114" s="1108"/>
      <c r="CH114" s="321"/>
      <c r="CI114" s="1123"/>
      <c r="CJ114" s="1108"/>
      <c r="CK114" s="328"/>
      <c r="CL114" s="1117"/>
    </row>
    <row r="115" spans="2:90" ht="51.75" customHeight="1" x14ac:dyDescent="0.25">
      <c r="B115" s="1152"/>
      <c r="C115" s="1140"/>
      <c r="D115" s="1165" t="str">
        <f>+'Plan de Accion 2018'!F9</f>
        <v>Estrategia de Comunicación y  Marketing de la Adres</v>
      </c>
      <c r="E115" s="1165" t="s">
        <v>3</v>
      </c>
      <c r="F115" s="356" t="str">
        <f>+'Plan de Accion 2018'!R9</f>
        <v>#Noticias Positivas en el periodo/#Noticias Negativas en el mismo periodo.</v>
      </c>
      <c r="G115" s="378"/>
      <c r="H115" s="792">
        <f>+'Plan de Accion 2018'!AA9</f>
        <v>19.333333333333332</v>
      </c>
      <c r="I115" s="777">
        <f>+'Plan de Accion 2018'!BL9</f>
        <v>2.7619047619047619</v>
      </c>
      <c r="J115" s="777">
        <f t="shared" si="21"/>
        <v>1</v>
      </c>
      <c r="K115" s="777">
        <f>+'Plan de Accion 2018'!AE9</f>
        <v>0.69047619047619047</v>
      </c>
      <c r="L115" s="777">
        <f t="shared" si="22"/>
        <v>0.25</v>
      </c>
      <c r="M115" s="1391">
        <f t="shared" si="23"/>
        <v>0.25</v>
      </c>
      <c r="N115" s="887">
        <v>1</v>
      </c>
      <c r="O115" s="792">
        <f>+'Plan de Accion 2018'!AK9</f>
        <v>9.6</v>
      </c>
      <c r="P115" s="777">
        <f>+'Plan de Accion 2018'!BN9</f>
        <v>1.3714285714285714</v>
      </c>
      <c r="Q115" s="870">
        <f t="shared" si="13"/>
        <v>1</v>
      </c>
      <c r="R115" s="892">
        <f>+'Plan de Accion 2018'!AO9</f>
        <v>1.0333333333333332</v>
      </c>
      <c r="S115" s="892">
        <f t="shared" si="14"/>
        <v>0.5</v>
      </c>
      <c r="T115" s="878">
        <f t="shared" si="15"/>
        <v>0.5</v>
      </c>
      <c r="U115" s="887">
        <v>1</v>
      </c>
      <c r="V115" s="792">
        <f>+'Plan de Accion 2018'!AU9</f>
        <v>0</v>
      </c>
      <c r="W115" s="777">
        <f>+'Plan de Accion 2018'!BP9</f>
        <v>0</v>
      </c>
      <c r="X115" s="870">
        <f t="shared" si="16"/>
        <v>0</v>
      </c>
      <c r="Y115" s="777">
        <f>+'Plan de Accion 2018'!AY9</f>
        <v>1.0333333333333332</v>
      </c>
      <c r="Z115" s="892">
        <f t="shared" si="26"/>
        <v>0.75</v>
      </c>
      <c r="AA115" s="878">
        <f t="shared" si="20"/>
        <v>0.75</v>
      </c>
      <c r="AB115" s="336"/>
      <c r="AC115" s="792">
        <f>+'Plan de Accion 2018'!BE9</f>
        <v>0</v>
      </c>
      <c r="AD115" s="331">
        <f>+'Plan de Accion 2018'!BR9</f>
        <v>0</v>
      </c>
      <c r="AE115" s="870">
        <f t="shared" si="18"/>
        <v>0</v>
      </c>
      <c r="AF115" s="777">
        <f>+'Plan de Accion 2018'!BI9</f>
        <v>1.0333333333333332</v>
      </c>
      <c r="AG115" s="878">
        <f t="shared" si="19"/>
        <v>1</v>
      </c>
      <c r="AH115" s="384"/>
      <c r="AI115" s="363"/>
      <c r="AJ115" s="385"/>
      <c r="AK115" s="353"/>
      <c r="AL115" s="321"/>
      <c r="AM115" s="386"/>
      <c r="AN115" s="353"/>
      <c r="AO115" s="321"/>
      <c r="AP115" s="385"/>
      <c r="AQ115" s="353"/>
      <c r="AR115" s="321"/>
      <c r="AS115" s="385"/>
      <c r="AT115" s="353"/>
      <c r="AU115" s="328"/>
      <c r="AV115" s="387"/>
      <c r="AW115" s="367"/>
      <c r="AX115" s="385"/>
      <c r="AY115" s="353"/>
      <c r="AZ115" s="321"/>
      <c r="BA115" s="386"/>
      <c r="BB115" s="353"/>
      <c r="BC115" s="321"/>
      <c r="BD115" s="385"/>
      <c r="BE115" s="353"/>
      <c r="BF115" s="321"/>
      <c r="BG115" s="385"/>
      <c r="BH115" s="353"/>
      <c r="BI115" s="328"/>
      <c r="BJ115" s="387"/>
      <c r="BL115" s="385"/>
      <c r="BM115" s="353"/>
      <c r="BN115" s="321"/>
      <c r="BO115" s="386"/>
      <c r="BP115" s="353"/>
      <c r="BQ115" s="321"/>
      <c r="BR115" s="385"/>
      <c r="BS115" s="353"/>
      <c r="BT115" s="321"/>
      <c r="BU115" s="385"/>
      <c r="BV115" s="353"/>
      <c r="BW115" s="328"/>
      <c r="BX115" s="387"/>
      <c r="BZ115" s="385"/>
      <c r="CA115" s="353"/>
      <c r="CB115" s="321"/>
      <c r="CC115" s="386"/>
      <c r="CD115" s="353"/>
      <c r="CE115" s="321"/>
      <c r="CF115" s="385"/>
      <c r="CG115" s="353"/>
      <c r="CH115" s="321"/>
      <c r="CI115" s="385"/>
      <c r="CJ115" s="353"/>
      <c r="CK115" s="328"/>
      <c r="CL115" s="387"/>
    </row>
    <row r="116" spans="2:90" ht="75" customHeight="1" thickBot="1" x14ac:dyDescent="0.3">
      <c r="B116" s="1152"/>
      <c r="C116" s="1140"/>
      <c r="D116" s="1104"/>
      <c r="E116" s="1104"/>
      <c r="F116" s="356" t="str">
        <f>+'Plan de Accion 2018'!R10</f>
        <v>((# de seguidores en Twitter periodo actual - # de seguidores en Twitter periodo anterior)/ # de seguidores en Twitter periodo anterior)</v>
      </c>
      <c r="G116" s="378"/>
      <c r="H116" s="388">
        <f>+'Plan de Accion 2018'!AA10</f>
        <v>0.66216216216216217</v>
      </c>
      <c r="I116" s="777">
        <f>+'Plan de Accion 2018'!BL10</f>
        <v>2.2072072072072073</v>
      </c>
      <c r="J116" s="777">
        <f t="shared" si="21"/>
        <v>1</v>
      </c>
      <c r="K116" s="777">
        <f>+'Plan de Accion 2018'!AE10</f>
        <v>0.66216216216216217</v>
      </c>
      <c r="L116" s="777">
        <f t="shared" si="22"/>
        <v>0.25</v>
      </c>
      <c r="M116" s="1391">
        <f t="shared" si="23"/>
        <v>0.25</v>
      </c>
      <c r="N116" s="887">
        <v>1</v>
      </c>
      <c r="O116" s="776">
        <f>+'Plan de Accion 2018'!AK10</f>
        <v>0.65989159891598914</v>
      </c>
      <c r="P116" s="777">
        <f>+'Plan de Accion 2018'!BN10</f>
        <v>2.1996386630532974</v>
      </c>
      <c r="Q116" s="870">
        <f t="shared" si="13"/>
        <v>1</v>
      </c>
      <c r="R116" s="892">
        <f>+'Plan de Accion 2018'!AO10</f>
        <v>1.3220537610781513</v>
      </c>
      <c r="S116" s="892">
        <f t="shared" si="14"/>
        <v>0.5</v>
      </c>
      <c r="T116" s="878">
        <f t="shared" si="15"/>
        <v>0.5</v>
      </c>
      <c r="U116" s="887">
        <v>1</v>
      </c>
      <c r="V116" s="776">
        <f>+'Plan de Accion 2018'!AU10</f>
        <v>0</v>
      </c>
      <c r="W116" s="777">
        <f>+'Plan de Accion 2018'!BP10</f>
        <v>0</v>
      </c>
      <c r="X116" s="870">
        <f t="shared" si="16"/>
        <v>0</v>
      </c>
      <c r="Y116" s="777">
        <f>+'Plan de Accion 2018'!AY10</f>
        <v>1.3220537610781513</v>
      </c>
      <c r="Z116" s="892">
        <f t="shared" si="26"/>
        <v>0.75</v>
      </c>
      <c r="AA116" s="878">
        <f t="shared" si="20"/>
        <v>0.75</v>
      </c>
      <c r="AB116" s="336"/>
      <c r="AC116" s="330">
        <f>+'Plan de Accion 2018'!BE10</f>
        <v>0</v>
      </c>
      <c r="AD116" s="331">
        <f>+'Plan de Accion 2018'!BR10</f>
        <v>0</v>
      </c>
      <c r="AE116" s="870">
        <f t="shared" si="18"/>
        <v>0</v>
      </c>
      <c r="AF116" s="777">
        <f>+'Plan de Accion 2018'!BI10</f>
        <v>1.3220537610781513</v>
      </c>
      <c r="AG116" s="878">
        <f t="shared" si="19"/>
        <v>1</v>
      </c>
      <c r="AH116" s="384"/>
      <c r="AI116" s="363"/>
      <c r="AJ116" s="385"/>
      <c r="AK116" s="353"/>
      <c r="AL116" s="321"/>
      <c r="AM116" s="386"/>
      <c r="AN116" s="353"/>
      <c r="AO116" s="321"/>
      <c r="AP116" s="385"/>
      <c r="AQ116" s="353"/>
      <c r="AR116" s="321"/>
      <c r="AS116" s="385"/>
      <c r="AT116" s="353"/>
      <c r="AU116" s="328"/>
      <c r="AV116" s="387"/>
      <c r="AW116" s="367"/>
      <c r="AX116" s="385"/>
      <c r="AY116" s="353"/>
      <c r="AZ116" s="321"/>
      <c r="BA116" s="386"/>
      <c r="BB116" s="353"/>
      <c r="BC116" s="321"/>
      <c r="BD116" s="385"/>
      <c r="BE116" s="353"/>
      <c r="BF116" s="321"/>
      <c r="BG116" s="385"/>
      <c r="BH116" s="353"/>
      <c r="BI116" s="328"/>
      <c r="BJ116" s="387"/>
      <c r="BL116" s="385"/>
      <c r="BM116" s="353"/>
      <c r="BN116" s="321"/>
      <c r="BO116" s="386"/>
      <c r="BP116" s="353"/>
      <c r="BQ116" s="321"/>
      <c r="BR116" s="385"/>
      <c r="BS116" s="353"/>
      <c r="BT116" s="321"/>
      <c r="BU116" s="385"/>
      <c r="BV116" s="353"/>
      <c r="BW116" s="328"/>
      <c r="BX116" s="387"/>
      <c r="BZ116" s="385"/>
      <c r="CA116" s="353"/>
      <c r="CB116" s="321"/>
      <c r="CC116" s="386"/>
      <c r="CD116" s="353"/>
      <c r="CE116" s="321"/>
      <c r="CF116" s="385"/>
      <c r="CG116" s="353"/>
      <c r="CH116" s="321"/>
      <c r="CI116" s="385"/>
      <c r="CJ116" s="353"/>
      <c r="CK116" s="328"/>
      <c r="CL116" s="387"/>
    </row>
    <row r="117" spans="2:90" ht="99.75" x14ac:dyDescent="0.25">
      <c r="B117" s="1152"/>
      <c r="C117" s="1140"/>
      <c r="D117" s="334" t="str">
        <f>+'Plan de Accion 2018'!F119</f>
        <v>Entrega de informes a organismos externos en el marco de la normatividad vigente</v>
      </c>
      <c r="E117" s="334" t="str">
        <f>+'Plan de Accion 2018'!B119</f>
        <v>Oficina de Control Interno</v>
      </c>
      <c r="F117" s="333" t="str">
        <f>+'Plan de Accion 2018'!R119</f>
        <v>(Número de informes presentados oportunamente a entes externos / Número de informes requeridos por entes externos en el marco de la normatividad vigente)*100</v>
      </c>
      <c r="G117" s="378"/>
      <c r="H117" s="776">
        <f>+'Plan de Accion 2018'!AA119</f>
        <v>0.47</v>
      </c>
      <c r="I117" s="389">
        <f>+'Plan de Accion 2018'!BL119</f>
        <v>0.88679245283018859</v>
      </c>
      <c r="J117" s="777">
        <f t="shared" si="21"/>
        <v>0.88679245283018859</v>
      </c>
      <c r="K117" s="777">
        <f>+'Plan de Accion 2018'!AE119</f>
        <v>0.47</v>
      </c>
      <c r="L117" s="777">
        <f t="shared" si="22"/>
        <v>0.25</v>
      </c>
      <c r="M117" s="1391">
        <f t="shared" si="23"/>
        <v>0.25</v>
      </c>
      <c r="N117" s="887"/>
      <c r="O117" s="776">
        <f>+'Plan de Accion 2018'!AK119</f>
        <v>0.17647058823529413</v>
      </c>
      <c r="P117" s="777">
        <f>+'Plan de Accion 2018'!BN119</f>
        <v>1.4705882352941178</v>
      </c>
      <c r="Q117" s="870">
        <f t="shared" si="13"/>
        <v>1</v>
      </c>
      <c r="R117" s="892">
        <f>+'Plan de Accion 2018'!AO119</f>
        <v>0.64647058823529413</v>
      </c>
      <c r="S117" s="892">
        <f t="shared" si="14"/>
        <v>0.5</v>
      </c>
      <c r="T117" s="878">
        <f t="shared" si="15"/>
        <v>0.5</v>
      </c>
      <c r="U117" s="887">
        <v>1</v>
      </c>
      <c r="V117" s="776">
        <f>+'Plan de Accion 2018'!AU119</f>
        <v>0</v>
      </c>
      <c r="W117" s="777">
        <f>+'Plan de Accion 2018'!BP119</f>
        <v>0</v>
      </c>
      <c r="X117" s="870">
        <f t="shared" si="16"/>
        <v>0</v>
      </c>
      <c r="Y117" s="777">
        <f>+'Plan de Accion 2018'!AY119</f>
        <v>0.64647058823529413</v>
      </c>
      <c r="Z117" s="892">
        <f t="shared" si="26"/>
        <v>0.64647058823529413</v>
      </c>
      <c r="AA117" s="878">
        <f t="shared" si="20"/>
        <v>0.64647058823529413</v>
      </c>
      <c r="AB117" s="336"/>
      <c r="AC117" s="330">
        <f>+'Plan de Accion 2018'!BE119</f>
        <v>0</v>
      </c>
      <c r="AD117" s="331">
        <f>+'Plan de Accion 2018'!BR119</f>
        <v>0</v>
      </c>
      <c r="AE117" s="870">
        <f t="shared" si="18"/>
        <v>0</v>
      </c>
      <c r="AF117" s="777">
        <f>+'Plan de Accion 2018'!BI119</f>
        <v>0.64647058823529413</v>
      </c>
      <c r="AG117" s="878">
        <f t="shared" si="19"/>
        <v>0.64647058823529413</v>
      </c>
      <c r="AH117" s="347"/>
      <c r="AI117" s="363"/>
      <c r="AJ117" s="1106"/>
      <c r="AK117" s="1106"/>
      <c r="AL117" s="321"/>
      <c r="AM117" s="1112"/>
      <c r="AN117" s="1106"/>
      <c r="AO117" s="321"/>
      <c r="AP117" s="1106"/>
      <c r="AQ117" s="1106"/>
      <c r="AR117" s="321"/>
      <c r="AS117" s="1106"/>
      <c r="AT117" s="1106"/>
      <c r="AU117" s="328"/>
      <c r="AV117" s="348"/>
      <c r="AW117" s="367"/>
      <c r="AX117" s="1106"/>
      <c r="AY117" s="1106"/>
      <c r="AZ117" s="321"/>
      <c r="BA117" s="1112"/>
      <c r="BB117" s="1106"/>
      <c r="BC117" s="321"/>
      <c r="BD117" s="1106"/>
      <c r="BE117" s="1106"/>
      <c r="BF117" s="321"/>
      <c r="BG117" s="1106"/>
      <c r="BH117" s="1106"/>
      <c r="BI117" s="328"/>
      <c r="BJ117" s="348"/>
      <c r="BL117" s="1106"/>
      <c r="BM117" s="1106"/>
      <c r="BN117" s="321"/>
      <c r="BO117" s="1112"/>
      <c r="BP117" s="1106"/>
      <c r="BQ117" s="321"/>
      <c r="BR117" s="1106"/>
      <c r="BS117" s="1106"/>
      <c r="BT117" s="321"/>
      <c r="BU117" s="1106"/>
      <c r="BV117" s="1106"/>
      <c r="BW117" s="328"/>
      <c r="BX117" s="348"/>
      <c r="BZ117" s="1106"/>
      <c r="CA117" s="1106"/>
      <c r="CB117" s="321"/>
      <c r="CC117" s="1112"/>
      <c r="CD117" s="1106"/>
      <c r="CE117" s="321"/>
      <c r="CF117" s="1106"/>
      <c r="CG117" s="1106"/>
      <c r="CH117" s="321"/>
      <c r="CI117" s="1106"/>
      <c r="CJ117" s="1106"/>
      <c r="CK117" s="328"/>
      <c r="CL117" s="348"/>
    </row>
    <row r="118" spans="2:90" ht="30.75" customHeight="1" x14ac:dyDescent="0.25">
      <c r="B118" s="1152"/>
      <c r="C118" s="1140"/>
      <c r="D118" s="749" t="str">
        <f>+'Plan de Accion 2018'!F159</f>
        <v>Informe mensual de los contenidos digitales de la ADRES</v>
      </c>
      <c r="E118" s="749" t="str">
        <f>+'Plan de Accion 2018'!B159</f>
        <v xml:space="preserve">Dirección General </v>
      </c>
      <c r="F118" s="748" t="str">
        <f>+'Plan de Accion 2018'!R159</f>
        <v># Informes de administración de contenidos digitales de la ADRES</v>
      </c>
      <c r="G118" s="378"/>
      <c r="H118" s="780">
        <f>+'Plan de Accion 2018'!AA159</f>
        <v>0</v>
      </c>
      <c r="I118" s="389" t="str">
        <f>+'Plan de Accion 2018'!BL159</f>
        <v>No Prog ni Ejec</v>
      </c>
      <c r="J118" s="777" t="s">
        <v>792</v>
      </c>
      <c r="K118" s="777">
        <f>+'Plan de Accion 2018'!AE159</f>
        <v>0</v>
      </c>
      <c r="L118" s="777">
        <f t="shared" si="22"/>
        <v>0</v>
      </c>
      <c r="M118" s="1391" t="s">
        <v>792</v>
      </c>
      <c r="N118" s="887"/>
      <c r="O118" s="780">
        <f>+'Plan de Accion 2018'!AK159</f>
        <v>0</v>
      </c>
      <c r="P118" s="777" t="str">
        <f>+'Plan de Accion 2018'!BN159</f>
        <v>No Prog ni Ejec</v>
      </c>
      <c r="Q118" s="870" t="s">
        <v>792</v>
      </c>
      <c r="R118" s="892">
        <f>+'Plan de Accion 2018'!AO159</f>
        <v>0</v>
      </c>
      <c r="S118" s="892">
        <f t="shared" si="14"/>
        <v>0</v>
      </c>
      <c r="T118" s="878" t="s">
        <v>792</v>
      </c>
      <c r="U118" s="336"/>
      <c r="V118" s="776">
        <f>+'Plan de Accion 2018'!AU159</f>
        <v>0</v>
      </c>
      <c r="W118" s="777">
        <f>+'Plan de Accion 2018'!BP159</f>
        <v>0</v>
      </c>
      <c r="X118" s="870">
        <f t="shared" si="16"/>
        <v>0</v>
      </c>
      <c r="Y118" s="777">
        <f>+'Plan de Accion 2018'!AY159</f>
        <v>0</v>
      </c>
      <c r="Z118" s="892">
        <f t="shared" si="26"/>
        <v>0</v>
      </c>
      <c r="AA118" s="878">
        <f t="shared" si="20"/>
        <v>0</v>
      </c>
      <c r="AB118" s="336"/>
      <c r="AC118" s="330">
        <f>+'Plan de Accion 2018'!BE159</f>
        <v>0</v>
      </c>
      <c r="AD118" s="331">
        <f>+'Plan de Accion 2018'!BR159</f>
        <v>0</v>
      </c>
      <c r="AE118" s="870">
        <f t="shared" si="18"/>
        <v>0</v>
      </c>
      <c r="AF118" s="777">
        <f>+'Plan de Accion 2018'!BI159</f>
        <v>0</v>
      </c>
      <c r="AG118" s="878">
        <f t="shared" si="19"/>
        <v>0</v>
      </c>
      <c r="AH118" s="349"/>
      <c r="AI118" s="363"/>
      <c r="AJ118" s="1107"/>
      <c r="AK118" s="1107"/>
      <c r="AL118" s="321"/>
      <c r="AM118" s="1113"/>
      <c r="AN118" s="1107"/>
      <c r="AO118" s="321"/>
      <c r="AP118" s="1107"/>
      <c r="AQ118" s="1107"/>
      <c r="AR118" s="321"/>
      <c r="AS118" s="1107"/>
      <c r="AT118" s="1107"/>
      <c r="AU118" s="328"/>
      <c r="AV118" s="350"/>
      <c r="AW118" s="367"/>
      <c r="AX118" s="1107"/>
      <c r="AY118" s="1107"/>
      <c r="AZ118" s="321"/>
      <c r="BA118" s="1113"/>
      <c r="BB118" s="1107"/>
      <c r="BC118" s="321"/>
      <c r="BD118" s="1107"/>
      <c r="BE118" s="1107"/>
      <c r="BF118" s="321"/>
      <c r="BG118" s="1107"/>
      <c r="BH118" s="1107"/>
      <c r="BI118" s="328"/>
      <c r="BJ118" s="350"/>
      <c r="BL118" s="1107"/>
      <c r="BM118" s="1107"/>
      <c r="BN118" s="321"/>
      <c r="BO118" s="1113"/>
      <c r="BP118" s="1107"/>
      <c r="BQ118" s="321"/>
      <c r="BR118" s="1107"/>
      <c r="BS118" s="1107"/>
      <c r="BT118" s="321"/>
      <c r="BU118" s="1107"/>
      <c r="BV118" s="1107"/>
      <c r="BW118" s="328"/>
      <c r="BX118" s="350"/>
      <c r="BZ118" s="1107"/>
      <c r="CA118" s="1107"/>
      <c r="CB118" s="321"/>
      <c r="CC118" s="1113"/>
      <c r="CD118" s="1107"/>
      <c r="CE118" s="321"/>
      <c r="CF118" s="1107"/>
      <c r="CG118" s="1107"/>
      <c r="CH118" s="321"/>
      <c r="CI118" s="1107"/>
      <c r="CJ118" s="1107"/>
      <c r="CK118" s="328"/>
      <c r="CL118" s="350"/>
    </row>
    <row r="119" spans="2:90" ht="71.25" x14ac:dyDescent="0.25">
      <c r="B119" s="1152"/>
      <c r="C119" s="1140"/>
      <c r="D119" s="749" t="str">
        <f>+'Plan de Accion 2018'!F160</f>
        <v>Página Web de la ADRES adaptada a requisitos de la NTC 5854.</v>
      </c>
      <c r="E119" s="749" t="str">
        <f>+'Plan de Accion 2018'!B160</f>
        <v>Dirección General
Dirección de Gestión de Tecnología de Información y Comunicaciones</v>
      </c>
      <c r="F119" s="748" t="str">
        <f>+'Plan de Accion 2018'!R160</f>
        <v xml:space="preserve"># Requisitos de la NTC 5854 adaptados en la página Web de la ADRES/# Requisitos de la NTC 5854 </v>
      </c>
      <c r="G119" s="378"/>
      <c r="H119" s="776">
        <f>+'Plan de Accion 2018'!AA160</f>
        <v>0</v>
      </c>
      <c r="I119" s="389" t="str">
        <f>+'Plan de Accion 2018'!BL160</f>
        <v>No Prog ni Ejec</v>
      </c>
      <c r="J119" s="777" t="s">
        <v>792</v>
      </c>
      <c r="K119" s="777">
        <f>+'Plan de Accion 2018'!AE160</f>
        <v>0</v>
      </c>
      <c r="L119" s="777">
        <f t="shared" si="22"/>
        <v>0</v>
      </c>
      <c r="M119" s="1391" t="s">
        <v>792</v>
      </c>
      <c r="N119" s="887"/>
      <c r="O119" s="776">
        <f>+'Plan de Accion 2018'!AK160</f>
        <v>0</v>
      </c>
      <c r="P119" s="777" t="str">
        <f>+'Plan de Accion 2018'!BN160</f>
        <v>No Prog ni Ejec</v>
      </c>
      <c r="Q119" s="870" t="s">
        <v>792</v>
      </c>
      <c r="R119" s="892">
        <f>+'Plan de Accion 2018'!AO160</f>
        <v>0</v>
      </c>
      <c r="S119" s="892">
        <f t="shared" si="14"/>
        <v>0</v>
      </c>
      <c r="T119" s="878" t="s">
        <v>792</v>
      </c>
      <c r="U119" s="336"/>
      <c r="V119" s="776">
        <f>+'Plan de Accion 2018'!AU160</f>
        <v>0</v>
      </c>
      <c r="W119" s="777" t="str">
        <f>+'Plan de Accion 2018'!BP160</f>
        <v>No Prog ni Ejec</v>
      </c>
      <c r="X119" s="870" t="s">
        <v>792</v>
      </c>
      <c r="Y119" s="777">
        <f>+'Plan de Accion 2018'!AY160</f>
        <v>0</v>
      </c>
      <c r="Z119" s="892">
        <f t="shared" si="26"/>
        <v>0</v>
      </c>
      <c r="AA119" s="878" t="s">
        <v>792</v>
      </c>
      <c r="AB119" s="336"/>
      <c r="AC119" s="330">
        <f>+'Plan de Accion 2018'!BE160</f>
        <v>0</v>
      </c>
      <c r="AD119" s="331">
        <f>+'Plan de Accion 2018'!BR160</f>
        <v>0</v>
      </c>
      <c r="AE119" s="870">
        <f t="shared" si="18"/>
        <v>0</v>
      </c>
      <c r="AF119" s="777">
        <f>+'Plan de Accion 2018'!BI160</f>
        <v>0</v>
      </c>
      <c r="AG119" s="878">
        <f t="shared" si="19"/>
        <v>0</v>
      </c>
      <c r="AH119" s="349"/>
      <c r="AI119" s="363"/>
      <c r="AJ119" s="1107"/>
      <c r="AK119" s="1107"/>
      <c r="AL119" s="321"/>
      <c r="AM119" s="1113"/>
      <c r="AN119" s="1107"/>
      <c r="AO119" s="321"/>
      <c r="AP119" s="1107"/>
      <c r="AQ119" s="1107"/>
      <c r="AR119" s="321"/>
      <c r="AS119" s="1107"/>
      <c r="AT119" s="1107"/>
      <c r="AU119" s="328"/>
      <c r="AV119" s="350"/>
      <c r="AW119" s="367"/>
      <c r="AX119" s="1107"/>
      <c r="AY119" s="1107"/>
      <c r="AZ119" s="321"/>
      <c r="BA119" s="1113"/>
      <c r="BB119" s="1107"/>
      <c r="BC119" s="321"/>
      <c r="BD119" s="1107"/>
      <c r="BE119" s="1107"/>
      <c r="BF119" s="321"/>
      <c r="BG119" s="1107"/>
      <c r="BH119" s="1107"/>
      <c r="BI119" s="328"/>
      <c r="BJ119" s="350"/>
      <c r="BL119" s="1107"/>
      <c r="BM119" s="1107"/>
      <c r="BN119" s="321"/>
      <c r="BO119" s="1113"/>
      <c r="BP119" s="1107"/>
      <c r="BQ119" s="321"/>
      <c r="BR119" s="1107"/>
      <c r="BS119" s="1107"/>
      <c r="BT119" s="321"/>
      <c r="BU119" s="1107"/>
      <c r="BV119" s="1107"/>
      <c r="BW119" s="328"/>
      <c r="BX119" s="350"/>
      <c r="BZ119" s="1107"/>
      <c r="CA119" s="1107"/>
      <c r="CB119" s="321"/>
      <c r="CC119" s="1113"/>
      <c r="CD119" s="1107"/>
      <c r="CE119" s="321"/>
      <c r="CF119" s="1107"/>
      <c r="CG119" s="1107"/>
      <c r="CH119" s="321"/>
      <c r="CI119" s="1107"/>
      <c r="CJ119" s="1107"/>
      <c r="CK119" s="328"/>
      <c r="CL119" s="350"/>
    </row>
    <row r="120" spans="2:90" ht="85.5" x14ac:dyDescent="0.25">
      <c r="B120" s="1152"/>
      <c r="C120" s="1140"/>
      <c r="D120" s="749" t="str">
        <f>+'Plan de Accion 2018'!F161</f>
        <v>NIIF implementadas</v>
      </c>
      <c r="E120" s="749" t="str">
        <f>+'Plan de Accion 2018'!B161</f>
        <v>Dirección de Gestión de Recursos Financieros para la Salud
Dirección Administrativa y Financiera</v>
      </c>
      <c r="F120" s="748" t="str">
        <f>+'Plan de Accion 2018'!R161</f>
        <v># Actividades realizadas para la implementación de las NIIF / # actividades programadas para la implementación de las NIIF</v>
      </c>
      <c r="G120" s="378"/>
      <c r="H120" s="776">
        <f>+'Plan de Accion 2018'!AA161</f>
        <v>0</v>
      </c>
      <c r="I120" s="389" t="str">
        <f>+'Plan de Accion 2018'!BL161</f>
        <v>No Prog ni Ejec</v>
      </c>
      <c r="J120" s="777" t="s">
        <v>792</v>
      </c>
      <c r="K120" s="777">
        <f>+'Plan de Accion 2018'!AE161</f>
        <v>0</v>
      </c>
      <c r="L120" s="777">
        <f t="shared" si="22"/>
        <v>0</v>
      </c>
      <c r="M120" s="1391" t="s">
        <v>792</v>
      </c>
      <c r="N120" s="887"/>
      <c r="O120" s="776">
        <f>+'Plan de Accion 2018'!AK161</f>
        <v>0</v>
      </c>
      <c r="P120" s="777" t="str">
        <f>+'Plan de Accion 2018'!BN161</f>
        <v>No Prog ni Ejec</v>
      </c>
      <c r="Q120" s="870" t="s">
        <v>792</v>
      </c>
      <c r="R120" s="892">
        <f>+'Plan de Accion 2018'!AO161</f>
        <v>0</v>
      </c>
      <c r="S120" s="892">
        <f t="shared" si="14"/>
        <v>0</v>
      </c>
      <c r="T120" s="878" t="s">
        <v>792</v>
      </c>
      <c r="U120" s="336"/>
      <c r="V120" s="776">
        <f>+'Plan de Accion 2018'!AU161</f>
        <v>0</v>
      </c>
      <c r="W120" s="777" t="str">
        <f>+'Plan de Accion 2018'!BP161</f>
        <v>No Prog ni Ejec</v>
      </c>
      <c r="X120" s="870" t="s">
        <v>792</v>
      </c>
      <c r="Y120" s="777">
        <f>+'Plan de Accion 2018'!AY161</f>
        <v>0</v>
      </c>
      <c r="Z120" s="892">
        <f t="shared" si="26"/>
        <v>0</v>
      </c>
      <c r="AA120" s="878" t="s">
        <v>792</v>
      </c>
      <c r="AB120" s="336"/>
      <c r="AC120" s="330">
        <f>+'Plan de Accion 2018'!BE161</f>
        <v>0</v>
      </c>
      <c r="AD120" s="331">
        <f>+'Plan de Accion 2018'!BR161</f>
        <v>0</v>
      </c>
      <c r="AE120" s="870">
        <f t="shared" si="18"/>
        <v>0</v>
      </c>
      <c r="AF120" s="777">
        <f>+'Plan de Accion 2018'!BI161</f>
        <v>0</v>
      </c>
      <c r="AG120" s="878">
        <f t="shared" si="19"/>
        <v>0</v>
      </c>
      <c r="AH120" s="349"/>
      <c r="AI120" s="363"/>
      <c r="AJ120" s="1107"/>
      <c r="AK120" s="1107"/>
      <c r="AL120" s="321"/>
      <c r="AM120" s="1113"/>
      <c r="AN120" s="1107"/>
      <c r="AO120" s="321"/>
      <c r="AP120" s="1107"/>
      <c r="AQ120" s="1107"/>
      <c r="AR120" s="321"/>
      <c r="AS120" s="1107"/>
      <c r="AT120" s="1107"/>
      <c r="AU120" s="328"/>
      <c r="AV120" s="350"/>
      <c r="AW120" s="367"/>
      <c r="AX120" s="1107"/>
      <c r="AY120" s="1107"/>
      <c r="AZ120" s="321"/>
      <c r="BA120" s="1113"/>
      <c r="BB120" s="1107"/>
      <c r="BC120" s="321"/>
      <c r="BD120" s="1107"/>
      <c r="BE120" s="1107"/>
      <c r="BF120" s="321"/>
      <c r="BG120" s="1107"/>
      <c r="BH120" s="1107"/>
      <c r="BI120" s="328"/>
      <c r="BJ120" s="350"/>
      <c r="BL120" s="1107"/>
      <c r="BM120" s="1107"/>
      <c r="BN120" s="321"/>
      <c r="BO120" s="1113"/>
      <c r="BP120" s="1107"/>
      <c r="BQ120" s="321"/>
      <c r="BR120" s="1107"/>
      <c r="BS120" s="1107"/>
      <c r="BT120" s="321"/>
      <c r="BU120" s="1107"/>
      <c r="BV120" s="1107"/>
      <c r="BW120" s="328"/>
      <c r="BX120" s="350"/>
      <c r="BZ120" s="1107"/>
      <c r="CA120" s="1107"/>
      <c r="CB120" s="321"/>
      <c r="CC120" s="1113"/>
      <c r="CD120" s="1107"/>
      <c r="CE120" s="321"/>
      <c r="CF120" s="1107"/>
      <c r="CG120" s="1107"/>
      <c r="CH120" s="321"/>
      <c r="CI120" s="1107"/>
      <c r="CJ120" s="1107"/>
      <c r="CK120" s="328"/>
      <c r="CL120" s="350"/>
    </row>
    <row r="121" spans="2:90" ht="28.5" x14ac:dyDescent="0.25">
      <c r="B121" s="1152"/>
      <c r="C121" s="1140"/>
      <c r="D121" s="334" t="str">
        <f>+'Plan de Accion 2018'!F141</f>
        <v>Informes de seguimiento a la Ejecución del Plan de Acción</v>
      </c>
      <c r="E121" s="1146" t="str">
        <f>+'Plan de Accion 2018'!B141</f>
        <v>Oficina Asesora de Planeación y Control de Riegos</v>
      </c>
      <c r="F121" s="1211" t="str">
        <f>+'Plan de Accion 2018'!R141</f>
        <v xml:space="preserve"># Informes Publicados </v>
      </c>
      <c r="G121" s="378"/>
      <c r="H121" s="780">
        <f>+'Plan de Accion 2018'!AA141</f>
        <v>1</v>
      </c>
      <c r="I121" s="777">
        <f>+'Plan de Accion 2018'!BL141</f>
        <v>1</v>
      </c>
      <c r="J121" s="777">
        <f t="shared" si="21"/>
        <v>1</v>
      </c>
      <c r="K121" s="777">
        <f>+'Plan de Accion 2018'!AE141</f>
        <v>0.25</v>
      </c>
      <c r="L121" s="777">
        <f t="shared" si="22"/>
        <v>0.25</v>
      </c>
      <c r="M121" s="1391">
        <f t="shared" si="23"/>
        <v>0.25</v>
      </c>
      <c r="N121" s="887"/>
      <c r="O121" s="780">
        <f>+'Plan de Accion 2018'!AK141</f>
        <v>1</v>
      </c>
      <c r="P121" s="777">
        <f>+'Plan de Accion 2018'!BN141</f>
        <v>1</v>
      </c>
      <c r="Q121" s="870">
        <f t="shared" si="13"/>
        <v>1</v>
      </c>
      <c r="R121" s="892">
        <f>+'Plan de Accion 2018'!AO141</f>
        <v>0.5</v>
      </c>
      <c r="S121" s="892">
        <f t="shared" si="14"/>
        <v>0.5</v>
      </c>
      <c r="T121" s="878">
        <f t="shared" si="15"/>
        <v>0.5</v>
      </c>
      <c r="U121" s="336"/>
      <c r="V121" s="776">
        <f>+'Plan de Accion 2018'!AU141</f>
        <v>0</v>
      </c>
      <c r="W121" s="777">
        <f>+'Plan de Accion 2018'!BP141</f>
        <v>0</v>
      </c>
      <c r="X121" s="870">
        <f t="shared" si="16"/>
        <v>0</v>
      </c>
      <c r="Y121" s="777">
        <f>+'Plan de Accion 2018'!AY141</f>
        <v>0.5</v>
      </c>
      <c r="Z121" s="892">
        <f t="shared" si="26"/>
        <v>0.5</v>
      </c>
      <c r="AA121" s="878">
        <f t="shared" si="20"/>
        <v>0.5</v>
      </c>
      <c r="AB121" s="336"/>
      <c r="AC121" s="330">
        <f>+'Plan de Accion 2018'!BE141</f>
        <v>0</v>
      </c>
      <c r="AD121" s="331">
        <f>+'Plan de Accion 2018'!BR141</f>
        <v>0</v>
      </c>
      <c r="AE121" s="870">
        <f t="shared" si="18"/>
        <v>0</v>
      </c>
      <c r="AF121" s="777">
        <f>+'Plan de Accion 2018'!BI141</f>
        <v>0.5</v>
      </c>
      <c r="AG121" s="878">
        <f t="shared" si="19"/>
        <v>0.5</v>
      </c>
      <c r="AH121" s="349"/>
      <c r="AI121" s="363"/>
      <c r="AJ121" s="1107"/>
      <c r="AK121" s="1107"/>
      <c r="AL121" s="321"/>
      <c r="AM121" s="1113"/>
      <c r="AN121" s="1107"/>
      <c r="AO121" s="321"/>
      <c r="AP121" s="1107"/>
      <c r="AQ121" s="1107"/>
      <c r="AR121" s="321"/>
      <c r="AS121" s="1107"/>
      <c r="AT121" s="1107"/>
      <c r="AU121" s="328"/>
      <c r="AV121" s="350"/>
      <c r="AW121" s="367"/>
      <c r="AX121" s="1107"/>
      <c r="AY121" s="1107"/>
      <c r="AZ121" s="321"/>
      <c r="BA121" s="1113"/>
      <c r="BB121" s="1107"/>
      <c r="BC121" s="321"/>
      <c r="BD121" s="1107"/>
      <c r="BE121" s="1107"/>
      <c r="BF121" s="321"/>
      <c r="BG121" s="1107"/>
      <c r="BH121" s="1107"/>
      <c r="BI121" s="328"/>
      <c r="BJ121" s="350"/>
      <c r="BL121" s="1107"/>
      <c r="BM121" s="1107"/>
      <c r="BN121" s="321"/>
      <c r="BO121" s="1113"/>
      <c r="BP121" s="1107"/>
      <c r="BQ121" s="321"/>
      <c r="BR121" s="1107"/>
      <c r="BS121" s="1107"/>
      <c r="BT121" s="321"/>
      <c r="BU121" s="1107"/>
      <c r="BV121" s="1107"/>
      <c r="BW121" s="328"/>
      <c r="BX121" s="350"/>
      <c r="BZ121" s="1107"/>
      <c r="CA121" s="1107"/>
      <c r="CB121" s="321"/>
      <c r="CC121" s="1113"/>
      <c r="CD121" s="1107"/>
      <c r="CE121" s="321"/>
      <c r="CF121" s="1107"/>
      <c r="CG121" s="1107"/>
      <c r="CH121" s="321"/>
      <c r="CI121" s="1107"/>
      <c r="CJ121" s="1107"/>
      <c r="CK121" s="328"/>
      <c r="CL121" s="350"/>
    </row>
    <row r="122" spans="2:90" ht="43.5" thickBot="1" x14ac:dyDescent="0.3">
      <c r="B122" s="1152"/>
      <c r="C122" s="1141"/>
      <c r="D122" s="338" t="str">
        <f>+'Plan de Accion 2018'!J143</f>
        <v>Elaboración del Informe de Rendición de Cuentas al Congreso de la República 2017-2018</v>
      </c>
      <c r="E122" s="1167"/>
      <c r="F122" s="1212"/>
      <c r="G122" s="378"/>
      <c r="H122" s="781">
        <f>+'Plan de Accion 2018'!AA143</f>
        <v>0</v>
      </c>
      <c r="I122" s="928" t="str">
        <f>+'Plan de Accion 2018'!BL143</f>
        <v>No Prog ni Ejec</v>
      </c>
      <c r="J122" s="928" t="s">
        <v>792</v>
      </c>
      <c r="K122" s="928">
        <f>+'Plan de Accion 2018'!AE143</f>
        <v>0</v>
      </c>
      <c r="L122" s="928">
        <f t="shared" si="22"/>
        <v>0</v>
      </c>
      <c r="M122" s="930" t="s">
        <v>792</v>
      </c>
      <c r="N122" s="887"/>
      <c r="O122" s="781">
        <f>+'Plan de Accion 2018'!AK143</f>
        <v>1</v>
      </c>
      <c r="P122" s="890" t="str">
        <f>+'Plan de Accion 2018'!BN143</f>
        <v>No Prog, Ejec=  1</v>
      </c>
      <c r="Q122" s="870">
        <f t="shared" si="13"/>
        <v>1</v>
      </c>
      <c r="R122" s="892">
        <f>+'Plan de Accion 2018'!AO143</f>
        <v>1</v>
      </c>
      <c r="S122" s="929">
        <f t="shared" si="14"/>
        <v>0.5</v>
      </c>
      <c r="T122" s="878">
        <f t="shared" si="15"/>
        <v>0.5</v>
      </c>
      <c r="U122" s="887">
        <v>1</v>
      </c>
      <c r="V122" s="340">
        <f>+'Plan de Accion 2018'!AU143</f>
        <v>0</v>
      </c>
      <c r="W122" s="890">
        <f>+'Plan de Accion 2018'!BP143</f>
        <v>0</v>
      </c>
      <c r="X122" s="870">
        <f t="shared" si="16"/>
        <v>0</v>
      </c>
      <c r="Y122" s="890">
        <f>+'Plan de Accion 2018'!AY143</f>
        <v>1</v>
      </c>
      <c r="Z122" s="892">
        <f>+Y122</f>
        <v>1</v>
      </c>
      <c r="AA122" s="878">
        <f t="shared" si="20"/>
        <v>1</v>
      </c>
      <c r="AB122" s="336"/>
      <c r="AC122" s="340">
        <f>+'Plan de Accion 2018'!BE143</f>
        <v>0</v>
      </c>
      <c r="AD122" s="341" t="str">
        <f>+'Plan de Accion 2018'!BR143</f>
        <v>No Prog ni Ejec</v>
      </c>
      <c r="AE122" s="870" t="s">
        <v>792</v>
      </c>
      <c r="AF122" s="885">
        <f>+'Plan de Accion 2018'!BI143</f>
        <v>1</v>
      </c>
      <c r="AG122" s="878">
        <f t="shared" si="19"/>
        <v>1</v>
      </c>
      <c r="AH122" s="351"/>
      <c r="AI122" s="363"/>
      <c r="AJ122" s="1108"/>
      <c r="AK122" s="1108"/>
      <c r="AL122" s="321"/>
      <c r="AM122" s="1114"/>
      <c r="AN122" s="1108"/>
      <c r="AO122" s="321"/>
      <c r="AP122" s="1108"/>
      <c r="AQ122" s="1108"/>
      <c r="AR122" s="321"/>
      <c r="AS122" s="1108"/>
      <c r="AT122" s="1108"/>
      <c r="AU122" s="328"/>
      <c r="AV122" s="352"/>
      <c r="AW122" s="367"/>
      <c r="AX122" s="1108"/>
      <c r="AY122" s="1108"/>
      <c r="AZ122" s="321"/>
      <c r="BA122" s="1114"/>
      <c r="BB122" s="1108"/>
      <c r="BC122" s="321"/>
      <c r="BD122" s="1108"/>
      <c r="BE122" s="1108"/>
      <c r="BF122" s="321"/>
      <c r="BG122" s="1108"/>
      <c r="BH122" s="1108"/>
      <c r="BI122" s="328"/>
      <c r="BJ122" s="352"/>
      <c r="BL122" s="1108"/>
      <c r="BM122" s="1108"/>
      <c r="BN122" s="321"/>
      <c r="BO122" s="1114"/>
      <c r="BP122" s="1108"/>
      <c r="BQ122" s="321"/>
      <c r="BR122" s="1108"/>
      <c r="BS122" s="1108"/>
      <c r="BT122" s="321"/>
      <c r="BU122" s="1108"/>
      <c r="BV122" s="1108"/>
      <c r="BW122" s="328"/>
      <c r="BX122" s="352"/>
      <c r="BZ122" s="1108"/>
      <c r="CA122" s="1108"/>
      <c r="CB122" s="321"/>
      <c r="CC122" s="1114"/>
      <c r="CD122" s="1108"/>
      <c r="CE122" s="321"/>
      <c r="CF122" s="1108"/>
      <c r="CG122" s="1108"/>
      <c r="CH122" s="321"/>
      <c r="CI122" s="1108"/>
      <c r="CJ122" s="1108"/>
      <c r="CK122" s="328"/>
      <c r="CL122" s="352"/>
    </row>
    <row r="123" spans="2:90" ht="33.75" customHeight="1" thickBot="1" x14ac:dyDescent="0.3">
      <c r="B123" s="1157"/>
      <c r="C123" s="1142" t="s">
        <v>816</v>
      </c>
      <c r="D123" s="1143"/>
      <c r="E123" s="1143"/>
      <c r="F123" s="1144"/>
      <c r="G123" s="378"/>
      <c r="H123" s="358" t="s">
        <v>792</v>
      </c>
      <c r="I123" s="344">
        <f>SUM(I108:I122)/COUNT(I108:I122)</f>
        <v>1.2688964364664312</v>
      </c>
      <c r="J123" s="344">
        <f t="shared" si="21"/>
        <v>1</v>
      </c>
      <c r="K123" s="344">
        <f>SUM(K108:K122)/COUNT(K108:K122)</f>
        <v>0.30206022255459269</v>
      </c>
      <c r="L123" s="344">
        <f t="shared" ref="L123:M123" si="27">SUM(L108:L122)/COUNT(L108:L122)</f>
        <v>0.18055099904536923</v>
      </c>
      <c r="M123" s="346">
        <f t="shared" si="27"/>
        <v>0.24620590778913984</v>
      </c>
      <c r="N123" s="1406"/>
      <c r="O123" s="358" t="s">
        <v>792</v>
      </c>
      <c r="P123" s="876">
        <f>SUM(P113:P122,P108:P111)/COUNT(P113:P122,P108:P111)</f>
        <v>1.1934796394388543</v>
      </c>
      <c r="Q123" s="876">
        <f>SUM(Q113:Q122,Q108:Q111)/COUNT(Q113:Q122,Q108:Q111)</f>
        <v>0.98972437137330749</v>
      </c>
      <c r="R123" s="880">
        <f>SUM(R113:R122,R108:R111)/COUNT(R113:R122,R108:R111)</f>
        <v>0.53095770710574686</v>
      </c>
      <c r="S123" s="918">
        <f>SUM(S113:S122,S108:S111)/COUNT(S113:S122,S108:S111)</f>
        <v>0.38796787263097698</v>
      </c>
      <c r="T123" s="888">
        <f>SUM(T113:T122,T108:T111)/COUNT(T113:T122,T108:T111)</f>
        <v>0.49377729243942525</v>
      </c>
      <c r="U123" s="887">
        <v>1</v>
      </c>
      <c r="V123" s="358" t="s">
        <v>792</v>
      </c>
      <c r="W123" s="344">
        <f>SUM(W108:W122)/COUNT(W108:W122)</f>
        <v>0</v>
      </c>
      <c r="X123" s="344">
        <f>SUM(X108:X122)/COUNT(X108:X122)</f>
        <v>0</v>
      </c>
      <c r="Y123" s="876">
        <f>SUM(Y108:Y111,Y113:Y122)/COUNT(Y108:Y111,Y113:Y122)</f>
        <v>0.53095770710574686</v>
      </c>
      <c r="Z123" s="344">
        <f>SUM(Z108:Z111,Z113:Z122)/COUNT(Z108:Z111,Z113:Z122)</f>
        <v>0.469858628933498</v>
      </c>
      <c r="AA123" s="346">
        <f>SUM(AA108:AA111,AA113:AA122)/COUNT(AA108:AA111,AA113:AA122)</f>
        <v>0.54816840042241433</v>
      </c>
      <c r="AB123" s="369"/>
      <c r="AC123" s="358" t="s">
        <v>792</v>
      </c>
      <c r="AD123" s="344">
        <f>SUM(AD108:AD122)/COUNT(AD108:AD122)</f>
        <v>0</v>
      </c>
      <c r="AE123" s="344">
        <f>SUM(AE108:AE122)/COUNT(AE108:AE122)</f>
        <v>0</v>
      </c>
      <c r="AF123" s="876">
        <f>SUM(AF108:AF111,AF113:AF122)/COUNT(AF108:AF111,AF113:AF122)</f>
        <v>0.53095770710574686</v>
      </c>
      <c r="AG123" s="419">
        <f>SUM(AG108:AG111,AG113:AG122)/COUNT(AG108:AG111,AG113:AG122)</f>
        <v>0.50557291464778376</v>
      </c>
      <c r="AH123" s="349"/>
      <c r="AI123" s="363"/>
      <c r="AJ123" s="353"/>
      <c r="AK123" s="353"/>
      <c r="AL123" s="321"/>
      <c r="AM123" s="354"/>
      <c r="AN123" s="353"/>
      <c r="AO123" s="321"/>
      <c r="AP123" s="353"/>
      <c r="AQ123" s="353"/>
      <c r="AR123" s="321"/>
      <c r="AS123" s="353"/>
      <c r="AT123" s="353"/>
      <c r="AU123" s="328"/>
      <c r="AV123" s="350"/>
      <c r="AW123" s="367"/>
      <c r="AX123" s="353"/>
      <c r="AY123" s="353"/>
      <c r="AZ123" s="321"/>
      <c r="BA123" s="354"/>
      <c r="BB123" s="353"/>
      <c r="BC123" s="321"/>
      <c r="BD123" s="353"/>
      <c r="BE123" s="353"/>
      <c r="BF123" s="321"/>
      <c r="BG123" s="353"/>
      <c r="BH123" s="353"/>
      <c r="BI123" s="328"/>
      <c r="BJ123" s="350"/>
      <c r="BL123" s="353"/>
      <c r="BM123" s="353"/>
      <c r="BN123" s="321"/>
      <c r="BO123" s="354"/>
      <c r="BP123" s="353"/>
      <c r="BQ123" s="321"/>
      <c r="BR123" s="353"/>
      <c r="BS123" s="353"/>
      <c r="BT123" s="321"/>
      <c r="BU123" s="353"/>
      <c r="BV123" s="353"/>
      <c r="BW123" s="328"/>
      <c r="BX123" s="350"/>
      <c r="BZ123" s="353"/>
      <c r="CA123" s="353"/>
      <c r="CB123" s="321"/>
      <c r="CC123" s="354"/>
      <c r="CD123" s="353"/>
      <c r="CE123" s="321"/>
      <c r="CF123" s="353"/>
      <c r="CG123" s="353"/>
      <c r="CH123" s="321"/>
      <c r="CI123" s="353"/>
      <c r="CJ123" s="353"/>
      <c r="CK123" s="328"/>
      <c r="CL123" s="350"/>
    </row>
    <row r="124" spans="2:90" ht="28.5" x14ac:dyDescent="0.25">
      <c r="B124" s="1152"/>
      <c r="C124" s="1147" t="s">
        <v>144</v>
      </c>
      <c r="D124" s="360" t="str">
        <f>+'Plan de Accion 2018'!F48</f>
        <v>Proceso de Compensación</v>
      </c>
      <c r="E124" s="1100" t="str">
        <f>+'Plan de Accion 2018'!B48</f>
        <v>Dirección de Liquidaciones y Garantías</v>
      </c>
      <c r="F124" s="361" t="str">
        <f>+'Plan de Accion 2018'!R48</f>
        <v># Procesos de Compensación Ejecutados</v>
      </c>
      <c r="G124" s="378"/>
      <c r="H124" s="782">
        <f>+'Plan de Accion 2018'!AA48</f>
        <v>11</v>
      </c>
      <c r="I124" s="929">
        <f>+'Plan de Accion 2018'!BL48</f>
        <v>1</v>
      </c>
      <c r="J124" s="929">
        <f t="shared" si="21"/>
        <v>1</v>
      </c>
      <c r="K124" s="929">
        <f>+'Plan de Accion 2018'!AE48</f>
        <v>0.23404255319148937</v>
      </c>
      <c r="L124" s="929">
        <f t="shared" si="22"/>
        <v>0.23404255319148937</v>
      </c>
      <c r="M124" s="931">
        <f t="shared" si="23"/>
        <v>0.23404255319148937</v>
      </c>
      <c r="N124" s="887"/>
      <c r="O124" s="782">
        <f>+'Plan de Accion 2018'!AK48</f>
        <v>12</v>
      </c>
      <c r="P124" s="892">
        <f>+'Plan de Accion 2018'!BN48</f>
        <v>1</v>
      </c>
      <c r="Q124" s="870">
        <f t="shared" si="13"/>
        <v>1</v>
      </c>
      <c r="R124" s="892">
        <f>+'Plan de Accion 2018'!AO48</f>
        <v>0.48936170212765956</v>
      </c>
      <c r="S124" s="892">
        <f t="shared" si="14"/>
        <v>0.48936170212765956</v>
      </c>
      <c r="T124" s="878">
        <f t="shared" si="15"/>
        <v>0.48936170212765956</v>
      </c>
      <c r="U124" s="336"/>
      <c r="V124" s="782">
        <f>+'Plan de Accion 2018'!AU48</f>
        <v>0</v>
      </c>
      <c r="W124" s="892">
        <f>+'Plan de Accion 2018'!BP48</f>
        <v>0</v>
      </c>
      <c r="X124" s="870">
        <f t="shared" si="16"/>
        <v>0</v>
      </c>
      <c r="Y124" s="892">
        <f>+'Plan de Accion 2018'!AY48</f>
        <v>0.48936170212765956</v>
      </c>
      <c r="Z124" s="892">
        <f t="shared" ref="Z124:Z145" si="28">IF(Y124&gt;75%,75%,Y124)</f>
        <v>0.48936170212765956</v>
      </c>
      <c r="AA124" s="878">
        <f t="shared" si="20"/>
        <v>0.48936170212765956</v>
      </c>
      <c r="AB124" s="336"/>
      <c r="AC124" s="782">
        <f>+'Plan de Accion 2018'!BE48</f>
        <v>0</v>
      </c>
      <c r="AD124" s="323">
        <f>+'Plan de Accion 2018'!BR48</f>
        <v>0</v>
      </c>
      <c r="AE124" s="870">
        <f t="shared" si="18"/>
        <v>0</v>
      </c>
      <c r="AF124" s="886">
        <f>+'Plan de Accion 2018'!BI48</f>
        <v>0.48936170212765956</v>
      </c>
      <c r="AG124" s="878">
        <f t="shared" si="19"/>
        <v>0.48936170212765956</v>
      </c>
      <c r="AH124" s="347"/>
      <c r="AI124" s="363"/>
      <c r="AJ124" s="353"/>
      <c r="AK124" s="353"/>
      <c r="AL124" s="321"/>
      <c r="AM124" s="354"/>
      <c r="AN124" s="353"/>
      <c r="AO124" s="321"/>
      <c r="AP124" s="353"/>
      <c r="AQ124" s="353"/>
      <c r="AR124" s="321"/>
      <c r="AS124" s="353"/>
      <c r="AT124" s="353"/>
      <c r="AU124" s="328"/>
      <c r="AV124" s="350"/>
      <c r="AW124" s="367"/>
      <c r="AX124" s="353"/>
      <c r="AY124" s="353"/>
      <c r="AZ124" s="321"/>
      <c r="BA124" s="354"/>
      <c r="BB124" s="353"/>
      <c r="BC124" s="321"/>
      <c r="BD124" s="353"/>
      <c r="BE124" s="353"/>
      <c r="BF124" s="321"/>
      <c r="BG124" s="353"/>
      <c r="BH124" s="353"/>
      <c r="BI124" s="328"/>
      <c r="BJ124" s="350"/>
      <c r="BL124" s="353"/>
      <c r="BM124" s="353"/>
      <c r="BN124" s="321"/>
      <c r="BO124" s="354"/>
      <c r="BP124" s="353"/>
      <c r="BQ124" s="321"/>
      <c r="BR124" s="353"/>
      <c r="BS124" s="353"/>
      <c r="BT124" s="321"/>
      <c r="BU124" s="353"/>
      <c r="BV124" s="353"/>
      <c r="BW124" s="328"/>
      <c r="BX124" s="350"/>
      <c r="BZ124" s="353"/>
      <c r="CA124" s="353"/>
      <c r="CB124" s="321"/>
      <c r="CC124" s="354"/>
      <c r="CD124" s="353"/>
      <c r="CE124" s="321"/>
      <c r="CF124" s="353"/>
      <c r="CG124" s="353"/>
      <c r="CH124" s="321"/>
      <c r="CI124" s="353"/>
      <c r="CJ124" s="353"/>
      <c r="CK124" s="328"/>
      <c r="CL124" s="350"/>
    </row>
    <row r="125" spans="2:90" ht="28.5" x14ac:dyDescent="0.25">
      <c r="B125" s="1152"/>
      <c r="C125" s="1140"/>
      <c r="D125" s="332" t="str">
        <f>+'Plan de Accion 2018'!F49</f>
        <v>Liquidación de la UPC de los Afiliados del Régimen Subsidiado</v>
      </c>
      <c r="E125" s="1158"/>
      <c r="F125" s="356" t="str">
        <f>+'Plan de Accion 2018'!R49</f>
        <v xml:space="preserve"># Procesos de LMA Ejecutados </v>
      </c>
      <c r="G125" s="378"/>
      <c r="H125" s="780">
        <f>+'Plan de Accion 2018'!AA49</f>
        <v>3</v>
      </c>
      <c r="I125" s="777">
        <f>+'Plan de Accion 2018'!BL49</f>
        <v>1</v>
      </c>
      <c r="J125" s="777">
        <f t="shared" si="21"/>
        <v>1</v>
      </c>
      <c r="K125" s="777">
        <f>+'Plan de Accion 2018'!AE49</f>
        <v>0.25</v>
      </c>
      <c r="L125" s="777">
        <f t="shared" si="22"/>
        <v>0.25</v>
      </c>
      <c r="M125" s="1391">
        <f t="shared" si="23"/>
        <v>0.25</v>
      </c>
      <c r="N125" s="887"/>
      <c r="O125" s="780">
        <f>+'Plan de Accion 2018'!AK49</f>
        <v>3</v>
      </c>
      <c r="P125" s="777">
        <f>+'Plan de Accion 2018'!BN49</f>
        <v>1</v>
      </c>
      <c r="Q125" s="870">
        <f t="shared" si="13"/>
        <v>1</v>
      </c>
      <c r="R125" s="892">
        <f>+'Plan de Accion 2018'!AO49</f>
        <v>0.5</v>
      </c>
      <c r="S125" s="892">
        <f t="shared" si="14"/>
        <v>0.5</v>
      </c>
      <c r="T125" s="878">
        <f t="shared" si="15"/>
        <v>0.5</v>
      </c>
      <c r="U125" s="336"/>
      <c r="V125" s="780">
        <f>+'Plan de Accion 2018'!AU49</f>
        <v>0</v>
      </c>
      <c r="W125" s="777">
        <f>+'Plan de Accion 2018'!BP49</f>
        <v>0</v>
      </c>
      <c r="X125" s="870">
        <f t="shared" si="16"/>
        <v>0</v>
      </c>
      <c r="Y125" s="777">
        <f>+'Plan de Accion 2018'!AY49</f>
        <v>0.5</v>
      </c>
      <c r="Z125" s="892">
        <f t="shared" si="28"/>
        <v>0.5</v>
      </c>
      <c r="AA125" s="878">
        <f t="shared" si="20"/>
        <v>0.5</v>
      </c>
      <c r="AB125" s="336"/>
      <c r="AC125" s="780">
        <f>+'Plan de Accion 2018'!BE49</f>
        <v>0</v>
      </c>
      <c r="AD125" s="331">
        <f>+'Plan de Accion 2018'!BR49</f>
        <v>0</v>
      </c>
      <c r="AE125" s="870">
        <f t="shared" si="18"/>
        <v>0</v>
      </c>
      <c r="AF125" s="777">
        <f>+'Plan de Accion 2018'!BI49</f>
        <v>0.5</v>
      </c>
      <c r="AG125" s="878">
        <f t="shared" si="19"/>
        <v>0.5</v>
      </c>
      <c r="AH125" s="349"/>
      <c r="AI125" s="363"/>
      <c r="AJ125" s="353"/>
      <c r="AK125" s="353"/>
      <c r="AL125" s="321"/>
      <c r="AM125" s="354"/>
      <c r="AN125" s="353"/>
      <c r="AO125" s="321"/>
      <c r="AP125" s="353"/>
      <c r="AQ125" s="353"/>
      <c r="AR125" s="321"/>
      <c r="AS125" s="353"/>
      <c r="AT125" s="353"/>
      <c r="AU125" s="328"/>
      <c r="AV125" s="350"/>
      <c r="AW125" s="367"/>
      <c r="AX125" s="353"/>
      <c r="AY125" s="353"/>
      <c r="AZ125" s="321"/>
      <c r="BA125" s="354"/>
      <c r="BB125" s="353"/>
      <c r="BC125" s="321"/>
      <c r="BD125" s="353"/>
      <c r="BE125" s="353"/>
      <c r="BF125" s="321"/>
      <c r="BG125" s="353"/>
      <c r="BH125" s="353"/>
      <c r="BI125" s="328"/>
      <c r="BJ125" s="350"/>
      <c r="BL125" s="353"/>
      <c r="BM125" s="353"/>
      <c r="BN125" s="321"/>
      <c r="BO125" s="354"/>
      <c r="BP125" s="353"/>
      <c r="BQ125" s="321"/>
      <c r="BR125" s="353"/>
      <c r="BS125" s="353"/>
      <c r="BT125" s="321"/>
      <c r="BU125" s="353"/>
      <c r="BV125" s="353"/>
      <c r="BW125" s="328"/>
      <c r="BX125" s="350"/>
      <c r="BZ125" s="353"/>
      <c r="CA125" s="353"/>
      <c r="CB125" s="321"/>
      <c r="CC125" s="354"/>
      <c r="CD125" s="353"/>
      <c r="CE125" s="321"/>
      <c r="CF125" s="353"/>
      <c r="CG125" s="353"/>
      <c r="CH125" s="321"/>
      <c r="CI125" s="353"/>
      <c r="CJ125" s="353"/>
      <c r="CK125" s="328"/>
      <c r="CL125" s="350"/>
    </row>
    <row r="126" spans="2:90" ht="29.25" thickBot="1" x14ac:dyDescent="0.3">
      <c r="B126" s="1152"/>
      <c r="C126" s="1140"/>
      <c r="D126" s="332" t="str">
        <f>+'Plan de Accion 2018'!F50</f>
        <v>Giro Directo RC</v>
      </c>
      <c r="E126" s="1158"/>
      <c r="F126" s="356" t="str">
        <f>+'Plan de Accion 2018'!R50</f>
        <v># Giros Directos Ejecutados y Publicados</v>
      </c>
      <c r="G126" s="378"/>
      <c r="H126" s="780">
        <f>+'Plan de Accion 2018'!AA50</f>
        <v>3</v>
      </c>
      <c r="I126" s="777">
        <f>+'Plan de Accion 2018'!BL50</f>
        <v>1</v>
      </c>
      <c r="J126" s="777">
        <f t="shared" si="21"/>
        <v>1</v>
      </c>
      <c r="K126" s="777">
        <f>+'Plan de Accion 2018'!AE50</f>
        <v>0.25</v>
      </c>
      <c r="L126" s="777">
        <f t="shared" si="22"/>
        <v>0.25</v>
      </c>
      <c r="M126" s="1391">
        <f t="shared" si="23"/>
        <v>0.25</v>
      </c>
      <c r="N126" s="887"/>
      <c r="O126" s="780">
        <f>+'Plan de Accion 2018'!AK50</f>
        <v>3</v>
      </c>
      <c r="P126" s="777">
        <f>+'Plan de Accion 2018'!BN50</f>
        <v>1</v>
      </c>
      <c r="Q126" s="870">
        <f t="shared" si="13"/>
        <v>1</v>
      </c>
      <c r="R126" s="892">
        <f>+'Plan de Accion 2018'!AO50</f>
        <v>0.5</v>
      </c>
      <c r="S126" s="892">
        <f t="shared" si="14"/>
        <v>0.5</v>
      </c>
      <c r="T126" s="878">
        <f t="shared" si="15"/>
        <v>0.5</v>
      </c>
      <c r="U126" s="336"/>
      <c r="V126" s="780">
        <f>+'Plan de Accion 2018'!AU50</f>
        <v>0</v>
      </c>
      <c r="W126" s="777">
        <f>+'Plan de Accion 2018'!BP50</f>
        <v>0</v>
      </c>
      <c r="X126" s="870">
        <f t="shared" si="16"/>
        <v>0</v>
      </c>
      <c r="Y126" s="777">
        <f>+'Plan de Accion 2018'!AY50</f>
        <v>0.5</v>
      </c>
      <c r="Z126" s="892">
        <f t="shared" si="28"/>
        <v>0.5</v>
      </c>
      <c r="AA126" s="878">
        <f t="shared" si="20"/>
        <v>0.5</v>
      </c>
      <c r="AB126" s="336"/>
      <c r="AC126" s="780">
        <f>+'Plan de Accion 2018'!BE50</f>
        <v>0</v>
      </c>
      <c r="AD126" s="331">
        <f>+'Plan de Accion 2018'!BR50</f>
        <v>0</v>
      </c>
      <c r="AE126" s="870">
        <f t="shared" si="18"/>
        <v>0</v>
      </c>
      <c r="AF126" s="777">
        <f>+'Plan de Accion 2018'!BI50</f>
        <v>0.5</v>
      </c>
      <c r="AG126" s="878">
        <f t="shared" si="19"/>
        <v>0.5</v>
      </c>
      <c r="AH126" s="351"/>
      <c r="AI126" s="363"/>
      <c r="AJ126" s="353"/>
      <c r="AK126" s="353"/>
      <c r="AL126" s="321"/>
      <c r="AM126" s="354"/>
      <c r="AN126" s="353"/>
      <c r="AO126" s="321"/>
      <c r="AP126" s="353"/>
      <c r="AQ126" s="353"/>
      <c r="AR126" s="321"/>
      <c r="AS126" s="353"/>
      <c r="AT126" s="353"/>
      <c r="AU126" s="328"/>
      <c r="AV126" s="350"/>
      <c r="AW126" s="367"/>
      <c r="AX126" s="353"/>
      <c r="AY126" s="353"/>
      <c r="AZ126" s="321"/>
      <c r="BA126" s="354"/>
      <c r="BB126" s="353"/>
      <c r="BC126" s="321"/>
      <c r="BD126" s="353"/>
      <c r="BE126" s="353"/>
      <c r="BF126" s="321"/>
      <c r="BG126" s="353"/>
      <c r="BH126" s="353"/>
      <c r="BI126" s="328"/>
      <c r="BJ126" s="350"/>
      <c r="BL126" s="353"/>
      <c r="BM126" s="353"/>
      <c r="BN126" s="321"/>
      <c r="BO126" s="354"/>
      <c r="BP126" s="353"/>
      <c r="BQ126" s="321"/>
      <c r="BR126" s="353"/>
      <c r="BS126" s="353"/>
      <c r="BT126" s="321"/>
      <c r="BU126" s="353"/>
      <c r="BV126" s="353"/>
      <c r="BW126" s="328"/>
      <c r="BX126" s="350"/>
      <c r="BZ126" s="353"/>
      <c r="CA126" s="353"/>
      <c r="CB126" s="321"/>
      <c r="CC126" s="354"/>
      <c r="CD126" s="353"/>
      <c r="CE126" s="321"/>
      <c r="CF126" s="353"/>
      <c r="CG126" s="353"/>
      <c r="CH126" s="321"/>
      <c r="CI126" s="353"/>
      <c r="CJ126" s="353"/>
      <c r="CK126" s="328"/>
      <c r="CL126" s="350"/>
    </row>
    <row r="127" spans="2:90" ht="28.5" x14ac:dyDescent="0.25">
      <c r="B127" s="1152"/>
      <c r="C127" s="1140"/>
      <c r="D127" s="332" t="str">
        <f>+'Plan de Accion 2018'!F51</f>
        <v>Giro Directo RS</v>
      </c>
      <c r="E127" s="1158"/>
      <c r="F127" s="356" t="str">
        <f>+'Plan de Accion 2018'!R51</f>
        <v># Giros Directos Ejecutados y Publicados</v>
      </c>
      <c r="G127" s="378"/>
      <c r="H127" s="780">
        <f>+'Plan de Accion 2018'!AA51</f>
        <v>3</v>
      </c>
      <c r="I127" s="777">
        <f>+'Plan de Accion 2018'!BL51</f>
        <v>1</v>
      </c>
      <c r="J127" s="777">
        <f t="shared" si="21"/>
        <v>1</v>
      </c>
      <c r="K127" s="777">
        <f>+'Plan de Accion 2018'!AE51</f>
        <v>0.25</v>
      </c>
      <c r="L127" s="777">
        <f t="shared" si="22"/>
        <v>0.25</v>
      </c>
      <c r="M127" s="1391">
        <f t="shared" si="23"/>
        <v>0.25</v>
      </c>
      <c r="N127" s="887"/>
      <c r="O127" s="780">
        <f>+'Plan de Accion 2018'!AK51</f>
        <v>3</v>
      </c>
      <c r="P127" s="777">
        <f>+'Plan de Accion 2018'!BN51</f>
        <v>1</v>
      </c>
      <c r="Q127" s="870">
        <f t="shared" si="13"/>
        <v>1</v>
      </c>
      <c r="R127" s="892">
        <f>+'Plan de Accion 2018'!AO51</f>
        <v>0.5</v>
      </c>
      <c r="S127" s="892">
        <f t="shared" si="14"/>
        <v>0.5</v>
      </c>
      <c r="T127" s="878">
        <f t="shared" si="15"/>
        <v>0.5</v>
      </c>
      <c r="U127" s="336"/>
      <c r="V127" s="780">
        <f>+'Plan de Accion 2018'!AU51</f>
        <v>0</v>
      </c>
      <c r="W127" s="777">
        <f>+'Plan de Accion 2018'!BP51</f>
        <v>0</v>
      </c>
      <c r="X127" s="870">
        <f t="shared" si="16"/>
        <v>0</v>
      </c>
      <c r="Y127" s="777">
        <f>+'Plan de Accion 2018'!AY51</f>
        <v>0.5</v>
      </c>
      <c r="Z127" s="892">
        <f t="shared" si="28"/>
        <v>0.5</v>
      </c>
      <c r="AA127" s="878">
        <f t="shared" si="20"/>
        <v>0.5</v>
      </c>
      <c r="AB127" s="336"/>
      <c r="AC127" s="780">
        <f>+'Plan de Accion 2018'!BE51</f>
        <v>0</v>
      </c>
      <c r="AD127" s="331">
        <f>+'Plan de Accion 2018'!BR51</f>
        <v>0</v>
      </c>
      <c r="AE127" s="870">
        <f t="shared" si="18"/>
        <v>0</v>
      </c>
      <c r="AF127" s="777">
        <f>+'Plan de Accion 2018'!BI51</f>
        <v>0.5</v>
      </c>
      <c r="AG127" s="878">
        <f t="shared" si="19"/>
        <v>0.5</v>
      </c>
      <c r="AH127" s="347"/>
      <c r="AI127" s="363"/>
      <c r="AJ127" s="353"/>
      <c r="AK127" s="353"/>
      <c r="AL127" s="321"/>
      <c r="AM127" s="354"/>
      <c r="AN127" s="353"/>
      <c r="AO127" s="321"/>
      <c r="AP127" s="353"/>
      <c r="AQ127" s="353"/>
      <c r="AR127" s="321"/>
      <c r="AS127" s="353"/>
      <c r="AT127" s="353"/>
      <c r="AU127" s="328"/>
      <c r="AV127" s="350"/>
      <c r="AW127" s="367"/>
      <c r="AX127" s="353"/>
      <c r="AY127" s="353"/>
      <c r="AZ127" s="321"/>
      <c r="BA127" s="354"/>
      <c r="BB127" s="353"/>
      <c r="BC127" s="321"/>
      <c r="BD127" s="353"/>
      <c r="BE127" s="353"/>
      <c r="BF127" s="321"/>
      <c r="BG127" s="353"/>
      <c r="BH127" s="353"/>
      <c r="BI127" s="328"/>
      <c r="BJ127" s="350"/>
      <c r="BL127" s="353"/>
      <c r="BM127" s="353"/>
      <c r="BN127" s="321"/>
      <c r="BO127" s="354"/>
      <c r="BP127" s="353"/>
      <c r="BQ127" s="321"/>
      <c r="BR127" s="353"/>
      <c r="BS127" s="353"/>
      <c r="BT127" s="321"/>
      <c r="BU127" s="353"/>
      <c r="BV127" s="353"/>
      <c r="BW127" s="328"/>
      <c r="BX127" s="350"/>
      <c r="BZ127" s="353"/>
      <c r="CA127" s="353"/>
      <c r="CB127" s="321"/>
      <c r="CC127" s="354"/>
      <c r="CD127" s="353"/>
      <c r="CE127" s="321"/>
      <c r="CF127" s="353"/>
      <c r="CG127" s="353"/>
      <c r="CH127" s="321"/>
      <c r="CI127" s="353"/>
      <c r="CJ127" s="353"/>
      <c r="CK127" s="328"/>
      <c r="CL127" s="350"/>
    </row>
    <row r="128" spans="2:90" ht="57" x14ac:dyDescent="0.25">
      <c r="B128" s="1152"/>
      <c r="C128" s="1140"/>
      <c r="D128" s="1158" t="str">
        <f>+'Plan de Accion 2018'!F52</f>
        <v>Prestaciones económicas REX</v>
      </c>
      <c r="E128" s="1158"/>
      <c r="F128" s="356" t="str">
        <f>+'Plan de Accion 2018'!R52</f>
        <v># Solicitudes de Prestaciones Económicas Tramitadas / # Solicitudes de Prestaciones Económicas Presentadas</v>
      </c>
      <c r="G128" s="378"/>
      <c r="H128" s="776">
        <f>+'Plan de Accion 2018'!AA52</f>
        <v>0.14285714285714285</v>
      </c>
      <c r="I128" s="777">
        <f>+'Plan de Accion 2018'!BL52</f>
        <v>0.5714285714285714</v>
      </c>
      <c r="J128" s="777">
        <f t="shared" si="21"/>
        <v>0.5714285714285714</v>
      </c>
      <c r="K128" s="777">
        <f>+'Plan de Accion 2018'!AE52</f>
        <v>0.14285714285714285</v>
      </c>
      <c r="L128" s="777">
        <f t="shared" si="22"/>
        <v>0.14285714285714285</v>
      </c>
      <c r="M128" s="1391">
        <f t="shared" si="23"/>
        <v>0.14285714285714285</v>
      </c>
      <c r="N128" s="887"/>
      <c r="O128" s="776">
        <f>+'Plan de Accion 2018'!AK52</f>
        <v>0.17368125701459033</v>
      </c>
      <c r="P128" s="777">
        <f>+'Plan de Accion 2018'!BN52</f>
        <v>0.69472502805836134</v>
      </c>
      <c r="Q128" s="870">
        <f t="shared" si="13"/>
        <v>0.69472502805836134</v>
      </c>
      <c r="R128" s="892">
        <f>+'Plan de Accion 2018'!AO52</f>
        <v>0.31653839987173316</v>
      </c>
      <c r="S128" s="892">
        <f t="shared" si="14"/>
        <v>0.31653839987173316</v>
      </c>
      <c r="T128" s="878">
        <f t="shared" si="15"/>
        <v>0.31653839987173316</v>
      </c>
      <c r="U128" s="336"/>
      <c r="V128" s="776">
        <f>+'Plan de Accion 2018'!AU52</f>
        <v>0</v>
      </c>
      <c r="W128" s="777">
        <f>+'Plan de Accion 2018'!BP52</f>
        <v>0</v>
      </c>
      <c r="X128" s="870">
        <f t="shared" si="16"/>
        <v>0</v>
      </c>
      <c r="Y128" s="777">
        <f>+'Plan de Accion 2018'!AY52</f>
        <v>0.31653839987173316</v>
      </c>
      <c r="Z128" s="892">
        <f t="shared" si="28"/>
        <v>0.31653839987173316</v>
      </c>
      <c r="AA128" s="878">
        <f t="shared" si="20"/>
        <v>0.31653839987173316</v>
      </c>
      <c r="AB128" s="336"/>
      <c r="AC128" s="330">
        <f>+'Plan de Accion 2018'!BE52</f>
        <v>0</v>
      </c>
      <c r="AD128" s="331">
        <f>+'Plan de Accion 2018'!BR52</f>
        <v>0</v>
      </c>
      <c r="AE128" s="870">
        <f t="shared" si="18"/>
        <v>0</v>
      </c>
      <c r="AF128" s="777">
        <f>+'Plan de Accion 2018'!BI52</f>
        <v>0.31653839987173316</v>
      </c>
      <c r="AG128" s="878">
        <f t="shared" si="19"/>
        <v>0.31653839987173316</v>
      </c>
      <c r="AH128" s="349"/>
      <c r="AI128" s="363"/>
      <c r="AJ128" s="353"/>
      <c r="AK128" s="353"/>
      <c r="AL128" s="321"/>
      <c r="AM128" s="354"/>
      <c r="AN128" s="353"/>
      <c r="AO128" s="321"/>
      <c r="AP128" s="353"/>
      <c r="AQ128" s="353"/>
      <c r="AR128" s="321"/>
      <c r="AS128" s="353"/>
      <c r="AT128" s="353"/>
      <c r="AU128" s="328"/>
      <c r="AV128" s="350"/>
      <c r="AW128" s="367"/>
      <c r="AX128" s="353"/>
      <c r="AY128" s="353"/>
      <c r="AZ128" s="321"/>
      <c r="BA128" s="354"/>
      <c r="BB128" s="353"/>
      <c r="BC128" s="321"/>
      <c r="BD128" s="353"/>
      <c r="BE128" s="353"/>
      <c r="BF128" s="321"/>
      <c r="BG128" s="353"/>
      <c r="BH128" s="353"/>
      <c r="BI128" s="328"/>
      <c r="BJ128" s="350"/>
      <c r="BL128" s="353"/>
      <c r="BM128" s="353"/>
      <c r="BN128" s="321"/>
      <c r="BO128" s="354"/>
      <c r="BP128" s="353"/>
      <c r="BQ128" s="321"/>
      <c r="BR128" s="353"/>
      <c r="BS128" s="353"/>
      <c r="BT128" s="321"/>
      <c r="BU128" s="353"/>
      <c r="BV128" s="353"/>
      <c r="BW128" s="328"/>
      <c r="BX128" s="350"/>
      <c r="BZ128" s="353"/>
      <c r="CA128" s="353"/>
      <c r="CB128" s="321"/>
      <c r="CC128" s="354"/>
      <c r="CD128" s="353"/>
      <c r="CE128" s="321"/>
      <c r="CF128" s="353"/>
      <c r="CG128" s="353"/>
      <c r="CH128" s="321"/>
      <c r="CI128" s="353"/>
      <c r="CJ128" s="353"/>
      <c r="CK128" s="328"/>
      <c r="CL128" s="350"/>
    </row>
    <row r="129" spans="2:90" ht="57.75" thickBot="1" x14ac:dyDescent="0.3">
      <c r="B129" s="1152"/>
      <c r="C129" s="1140"/>
      <c r="D129" s="1158"/>
      <c r="E129" s="1158"/>
      <c r="F129" s="356" t="str">
        <f>+'Plan de Accion 2018'!R53</f>
        <v># Solicitudes Devolución Aportes REX Tramitadas / # Solicitudes Devolución Aportes Presentadas</v>
      </c>
      <c r="G129" s="378"/>
      <c r="H129" s="776">
        <f>+'Plan de Accion 2018'!AA53</f>
        <v>0.14883720930232558</v>
      </c>
      <c r="I129" s="777">
        <f>+'Plan de Accion 2018'!BL53</f>
        <v>0.59534883720930232</v>
      </c>
      <c r="J129" s="777">
        <f t="shared" si="21"/>
        <v>0.59534883720930232</v>
      </c>
      <c r="K129" s="777">
        <f>+'Plan de Accion 2018'!AE53</f>
        <v>0.14883720930232558</v>
      </c>
      <c r="L129" s="777">
        <f t="shared" si="22"/>
        <v>0.14883720930232558</v>
      </c>
      <c r="M129" s="1391">
        <f t="shared" si="23"/>
        <v>0.14883720930232558</v>
      </c>
      <c r="N129" s="887"/>
      <c r="O129" s="776">
        <f>+'Plan de Accion 2018'!AK53</f>
        <v>0.18290734824281149</v>
      </c>
      <c r="P129" s="777">
        <f>+'Plan de Accion 2018'!BN53</f>
        <v>0.73162939297124596</v>
      </c>
      <c r="Q129" s="870">
        <f t="shared" si="13"/>
        <v>0.73162939297124596</v>
      </c>
      <c r="R129" s="892">
        <f>+'Plan de Accion 2018'!AO53</f>
        <v>0.3317445575451371</v>
      </c>
      <c r="S129" s="892">
        <f t="shared" si="14"/>
        <v>0.3317445575451371</v>
      </c>
      <c r="T129" s="878">
        <f t="shared" si="15"/>
        <v>0.3317445575451371</v>
      </c>
      <c r="U129" s="336"/>
      <c r="V129" s="776">
        <f>+'Plan de Accion 2018'!AU53</f>
        <v>0</v>
      </c>
      <c r="W129" s="777">
        <f>+'Plan de Accion 2018'!BP53</f>
        <v>0</v>
      </c>
      <c r="X129" s="870">
        <f t="shared" si="16"/>
        <v>0</v>
      </c>
      <c r="Y129" s="777">
        <f>+'Plan de Accion 2018'!AY53</f>
        <v>0.3317445575451371</v>
      </c>
      <c r="Z129" s="892">
        <f t="shared" si="28"/>
        <v>0.3317445575451371</v>
      </c>
      <c r="AA129" s="878">
        <f t="shared" si="20"/>
        <v>0.3317445575451371</v>
      </c>
      <c r="AB129" s="336"/>
      <c r="AC129" s="330">
        <f>+'Plan de Accion 2018'!BE53</f>
        <v>0</v>
      </c>
      <c r="AD129" s="331">
        <f>+'Plan de Accion 2018'!BR53</f>
        <v>0</v>
      </c>
      <c r="AE129" s="870">
        <f t="shared" si="18"/>
        <v>0</v>
      </c>
      <c r="AF129" s="777">
        <f>+'Plan de Accion 2018'!BI53</f>
        <v>0.3317445575451371</v>
      </c>
      <c r="AG129" s="878">
        <f t="shared" si="19"/>
        <v>0.3317445575451371</v>
      </c>
      <c r="AH129" s="351"/>
      <c r="AI129" s="363"/>
      <c r="AJ129" s="353"/>
      <c r="AK129" s="353"/>
      <c r="AL129" s="321"/>
      <c r="AM129" s="354"/>
      <c r="AN129" s="353"/>
      <c r="AO129" s="321"/>
      <c r="AP129" s="353"/>
      <c r="AQ129" s="353"/>
      <c r="AR129" s="321"/>
      <c r="AS129" s="353"/>
      <c r="AT129" s="353"/>
      <c r="AU129" s="328"/>
      <c r="AV129" s="350"/>
      <c r="AW129" s="367"/>
      <c r="AX129" s="353"/>
      <c r="AY129" s="353"/>
      <c r="AZ129" s="321"/>
      <c r="BA129" s="354"/>
      <c r="BB129" s="353"/>
      <c r="BC129" s="321"/>
      <c r="BD129" s="353"/>
      <c r="BE129" s="353"/>
      <c r="BF129" s="321"/>
      <c r="BG129" s="353"/>
      <c r="BH129" s="353"/>
      <c r="BI129" s="328"/>
      <c r="BJ129" s="350"/>
      <c r="BL129" s="353"/>
      <c r="BM129" s="353"/>
      <c r="BN129" s="321"/>
      <c r="BO129" s="354"/>
      <c r="BP129" s="353"/>
      <c r="BQ129" s="321"/>
      <c r="BR129" s="353"/>
      <c r="BS129" s="353"/>
      <c r="BT129" s="321"/>
      <c r="BU129" s="353"/>
      <c r="BV129" s="353"/>
      <c r="BW129" s="328"/>
      <c r="BX129" s="350"/>
      <c r="BZ129" s="353"/>
      <c r="CA129" s="353"/>
      <c r="CB129" s="321"/>
      <c r="CC129" s="354"/>
      <c r="CD129" s="353"/>
      <c r="CE129" s="321"/>
      <c r="CF129" s="353"/>
      <c r="CG129" s="353"/>
      <c r="CH129" s="321"/>
      <c r="CI129" s="353"/>
      <c r="CJ129" s="353"/>
      <c r="CK129" s="328"/>
      <c r="CL129" s="350"/>
    </row>
    <row r="130" spans="2:90" ht="57" x14ac:dyDescent="0.25">
      <c r="B130" s="1152"/>
      <c r="C130" s="1140"/>
      <c r="D130" s="332" t="str">
        <f>+'Plan de Accion 2018'!F54</f>
        <v>Solicitudes de aclaración sobre apropiaciones sin justa causa</v>
      </c>
      <c r="E130" s="1158"/>
      <c r="F130" s="356" t="str">
        <f>+'Plan de Accion 2018'!R54</f>
        <v># solicitudes de aclaración elaboradas/# EPS con hallazgos de apropiación sin justa causa</v>
      </c>
      <c r="G130" s="378"/>
      <c r="H130" s="776">
        <f>+'Plan de Accion 2018'!AA54</f>
        <v>0.25</v>
      </c>
      <c r="I130" s="777">
        <f>+'Plan de Accion 2018'!BL54</f>
        <v>1</v>
      </c>
      <c r="J130" s="777">
        <f t="shared" si="21"/>
        <v>1</v>
      </c>
      <c r="K130" s="777">
        <f>+'Plan de Accion 2018'!AE54</f>
        <v>0.25</v>
      </c>
      <c r="L130" s="777">
        <f t="shared" si="22"/>
        <v>0.25</v>
      </c>
      <c r="M130" s="1391">
        <f t="shared" si="23"/>
        <v>0.25</v>
      </c>
      <c r="N130" s="887"/>
      <c r="O130" s="776">
        <f>+'Plan de Accion 2018'!AK54</f>
        <v>0.25</v>
      </c>
      <c r="P130" s="777">
        <f>+'Plan de Accion 2018'!BN54</f>
        <v>1</v>
      </c>
      <c r="Q130" s="870">
        <f t="shared" si="13"/>
        <v>1</v>
      </c>
      <c r="R130" s="892">
        <f>+'Plan de Accion 2018'!AO54</f>
        <v>0.5</v>
      </c>
      <c r="S130" s="892">
        <f t="shared" si="14"/>
        <v>0.5</v>
      </c>
      <c r="T130" s="878">
        <f t="shared" si="15"/>
        <v>0.5</v>
      </c>
      <c r="U130" s="336"/>
      <c r="V130" s="776">
        <f>+'Plan de Accion 2018'!AU54</f>
        <v>0</v>
      </c>
      <c r="W130" s="777">
        <f>+'Plan de Accion 2018'!BP54</f>
        <v>0</v>
      </c>
      <c r="X130" s="870">
        <f t="shared" si="16"/>
        <v>0</v>
      </c>
      <c r="Y130" s="777">
        <f>+'Plan de Accion 2018'!AY54</f>
        <v>0.5</v>
      </c>
      <c r="Z130" s="892">
        <f t="shared" si="28"/>
        <v>0.5</v>
      </c>
      <c r="AA130" s="878">
        <f t="shared" si="20"/>
        <v>0.5</v>
      </c>
      <c r="AB130" s="336"/>
      <c r="AC130" s="330">
        <f>+'Plan de Accion 2018'!BE54</f>
        <v>0</v>
      </c>
      <c r="AD130" s="331">
        <f>+'Plan de Accion 2018'!BR54</f>
        <v>0</v>
      </c>
      <c r="AE130" s="870">
        <f t="shared" si="18"/>
        <v>0</v>
      </c>
      <c r="AF130" s="777">
        <f>+'Plan de Accion 2018'!BI54</f>
        <v>0.5</v>
      </c>
      <c r="AG130" s="878">
        <f t="shared" si="19"/>
        <v>0.5</v>
      </c>
      <c r="AH130" s="347"/>
      <c r="AI130" s="363"/>
      <c r="AJ130" s="353"/>
      <c r="AK130" s="353"/>
      <c r="AL130" s="321"/>
      <c r="AM130" s="354"/>
      <c r="AN130" s="353"/>
      <c r="AO130" s="321"/>
      <c r="AP130" s="353"/>
      <c r="AQ130" s="353"/>
      <c r="AR130" s="321"/>
      <c r="AS130" s="353"/>
      <c r="AT130" s="353"/>
      <c r="AU130" s="328"/>
      <c r="AV130" s="350"/>
      <c r="AW130" s="367"/>
      <c r="AX130" s="353"/>
      <c r="AY130" s="353"/>
      <c r="AZ130" s="321"/>
      <c r="BA130" s="354"/>
      <c r="BB130" s="353"/>
      <c r="BC130" s="321"/>
      <c r="BD130" s="353"/>
      <c r="BE130" s="353"/>
      <c r="BF130" s="321"/>
      <c r="BG130" s="353"/>
      <c r="BH130" s="353"/>
      <c r="BI130" s="328"/>
      <c r="BJ130" s="350"/>
      <c r="BL130" s="353"/>
      <c r="BM130" s="353"/>
      <c r="BN130" s="321"/>
      <c r="BO130" s="354"/>
      <c r="BP130" s="353"/>
      <c r="BQ130" s="321"/>
      <c r="BR130" s="353"/>
      <c r="BS130" s="353"/>
      <c r="BT130" s="321"/>
      <c r="BU130" s="353"/>
      <c r="BV130" s="353"/>
      <c r="BW130" s="328"/>
      <c r="BX130" s="350"/>
      <c r="BZ130" s="353"/>
      <c r="CA130" s="353"/>
      <c r="CB130" s="321"/>
      <c r="CC130" s="354"/>
      <c r="CD130" s="353"/>
      <c r="CE130" s="321"/>
      <c r="CF130" s="353"/>
      <c r="CG130" s="353"/>
      <c r="CH130" s="321"/>
      <c r="CI130" s="353"/>
      <c r="CJ130" s="353"/>
      <c r="CK130" s="328"/>
      <c r="CL130" s="350"/>
    </row>
    <row r="131" spans="2:90" ht="71.25" x14ac:dyDescent="0.25">
      <c r="B131" s="1152"/>
      <c r="C131" s="1140"/>
      <c r="D131" s="332" t="str">
        <f>+'Plan de Accion 2018'!F55</f>
        <v>Informes de auditoría de reintegro de recursos</v>
      </c>
      <c r="E131" s="1158"/>
      <c r="F131" s="356" t="str">
        <f>+'Plan de Accion 2018'!R55</f>
        <v># Informes de Auditoría de Reintegro Elaborados / # EPS con Procedimiento de Reintegro de Recursos Iniciado</v>
      </c>
      <c r="G131" s="378"/>
      <c r="H131" s="776">
        <f>+'Plan de Accion 2018'!AA55</f>
        <v>0</v>
      </c>
      <c r="I131" s="777">
        <f>+'Plan de Accion 2018'!BL55</f>
        <v>0</v>
      </c>
      <c r="J131" s="777">
        <f t="shared" si="21"/>
        <v>0</v>
      </c>
      <c r="K131" s="777">
        <f>+'Plan de Accion 2018'!AE55</f>
        <v>0</v>
      </c>
      <c r="L131" s="777">
        <f t="shared" si="22"/>
        <v>0</v>
      </c>
      <c r="M131" s="1391">
        <f t="shared" si="23"/>
        <v>0</v>
      </c>
      <c r="N131" s="887"/>
      <c r="O131" s="776">
        <f>+'Plan de Accion 2018'!AK55</f>
        <v>0.25</v>
      </c>
      <c r="P131" s="777">
        <f>+'Plan de Accion 2018'!BN55</f>
        <v>1</v>
      </c>
      <c r="Q131" s="870">
        <f t="shared" si="13"/>
        <v>1</v>
      </c>
      <c r="R131" s="892">
        <f>+'Plan de Accion 2018'!AO55</f>
        <v>0.25</v>
      </c>
      <c r="S131" s="892">
        <f t="shared" si="14"/>
        <v>0.25</v>
      </c>
      <c r="T131" s="878">
        <f t="shared" si="15"/>
        <v>0.25</v>
      </c>
      <c r="U131" s="336"/>
      <c r="V131" s="776">
        <f>+'Plan de Accion 2018'!AU55</f>
        <v>0</v>
      </c>
      <c r="W131" s="777">
        <f>+'Plan de Accion 2018'!BP55</f>
        <v>0</v>
      </c>
      <c r="X131" s="870">
        <f t="shared" si="16"/>
        <v>0</v>
      </c>
      <c r="Y131" s="777">
        <f>+'Plan de Accion 2018'!AY55</f>
        <v>0.25</v>
      </c>
      <c r="Z131" s="892">
        <f t="shared" si="28"/>
        <v>0.25</v>
      </c>
      <c r="AA131" s="878">
        <f t="shared" si="20"/>
        <v>0.25</v>
      </c>
      <c r="AB131" s="336"/>
      <c r="AC131" s="330">
        <f>+'Plan de Accion 2018'!BE55</f>
        <v>0</v>
      </c>
      <c r="AD131" s="331">
        <f>+'Plan de Accion 2018'!BR55</f>
        <v>0</v>
      </c>
      <c r="AE131" s="870">
        <f t="shared" si="18"/>
        <v>0</v>
      </c>
      <c r="AF131" s="777">
        <f>+'Plan de Accion 2018'!BI55</f>
        <v>0.25</v>
      </c>
      <c r="AG131" s="878">
        <f t="shared" si="19"/>
        <v>0.25</v>
      </c>
      <c r="AH131" s="349"/>
      <c r="AI131" s="363"/>
      <c r="AJ131" s="353"/>
      <c r="AK131" s="353"/>
      <c r="AL131" s="321"/>
      <c r="AM131" s="354"/>
      <c r="AN131" s="353"/>
      <c r="AO131" s="321"/>
      <c r="AP131" s="353"/>
      <c r="AQ131" s="353"/>
      <c r="AR131" s="321"/>
      <c r="AS131" s="353"/>
      <c r="AT131" s="353"/>
      <c r="AU131" s="328"/>
      <c r="AV131" s="350"/>
      <c r="AW131" s="367"/>
      <c r="AX131" s="353"/>
      <c r="AY131" s="353"/>
      <c r="AZ131" s="321"/>
      <c r="BA131" s="354"/>
      <c r="BB131" s="353"/>
      <c r="BC131" s="321"/>
      <c r="BD131" s="353"/>
      <c r="BE131" s="353"/>
      <c r="BF131" s="321"/>
      <c r="BG131" s="353"/>
      <c r="BH131" s="353"/>
      <c r="BI131" s="328"/>
      <c r="BJ131" s="350"/>
      <c r="BL131" s="353"/>
      <c r="BM131" s="353"/>
      <c r="BN131" s="321"/>
      <c r="BO131" s="354"/>
      <c r="BP131" s="353"/>
      <c r="BQ131" s="321"/>
      <c r="BR131" s="353"/>
      <c r="BS131" s="353"/>
      <c r="BT131" s="321"/>
      <c r="BU131" s="353"/>
      <c r="BV131" s="353"/>
      <c r="BW131" s="328"/>
      <c r="BX131" s="350"/>
      <c r="BZ131" s="353"/>
      <c r="CA131" s="353"/>
      <c r="CB131" s="321"/>
      <c r="CC131" s="354"/>
      <c r="CD131" s="353"/>
      <c r="CE131" s="321"/>
      <c r="CF131" s="353"/>
      <c r="CG131" s="353"/>
      <c r="CH131" s="321"/>
      <c r="CI131" s="353"/>
      <c r="CJ131" s="353"/>
      <c r="CK131" s="328"/>
      <c r="CL131" s="350"/>
    </row>
    <row r="132" spans="2:90" ht="100.5" thickBot="1" x14ac:dyDescent="0.3">
      <c r="B132" s="1152"/>
      <c r="C132" s="1140"/>
      <c r="D132" s="332" t="str">
        <f>+'Plan de Accion 2018'!F56</f>
        <v>Informes de comunicaciones con las conclusiones de la auditoría de reintegro de recursos enviados a la SNS</v>
      </c>
      <c r="E132" s="1158"/>
      <c r="F132" s="356" t="str">
        <f>+'Plan de Accion 2018'!R56</f>
        <v xml:space="preserve"># Comunicaciones con las conclusiones del procedimiento de la auditoría de reintegro de recursos elaborados/ # EPS con hallazgos de apropiación sin justa causa </v>
      </c>
      <c r="G132" s="378"/>
      <c r="H132" s="776">
        <f>+'Plan de Accion 2018'!AA56</f>
        <v>0.25</v>
      </c>
      <c r="I132" s="777">
        <f>+'Plan de Accion 2018'!BL56</f>
        <v>1</v>
      </c>
      <c r="J132" s="777">
        <f t="shared" si="21"/>
        <v>1</v>
      </c>
      <c r="K132" s="777">
        <f>+'Plan de Accion 2018'!AE56</f>
        <v>0.25</v>
      </c>
      <c r="L132" s="777">
        <f t="shared" si="22"/>
        <v>0.25</v>
      </c>
      <c r="M132" s="1391">
        <f t="shared" si="23"/>
        <v>0.25</v>
      </c>
      <c r="N132" s="887"/>
      <c r="O132" s="776">
        <f>+'Plan de Accion 2018'!AK56</f>
        <v>0.25</v>
      </c>
      <c r="P132" s="777">
        <f>+'Plan de Accion 2018'!BN56</f>
        <v>1</v>
      </c>
      <c r="Q132" s="870">
        <f t="shared" si="13"/>
        <v>1</v>
      </c>
      <c r="R132" s="892">
        <f>+'Plan de Accion 2018'!AO56</f>
        <v>0.5</v>
      </c>
      <c r="S132" s="892">
        <f t="shared" si="14"/>
        <v>0.5</v>
      </c>
      <c r="T132" s="878">
        <f t="shared" si="15"/>
        <v>0.5</v>
      </c>
      <c r="U132" s="336"/>
      <c r="V132" s="776">
        <f>+'Plan de Accion 2018'!AU56</f>
        <v>0</v>
      </c>
      <c r="W132" s="777">
        <f>+'Plan de Accion 2018'!BP56</f>
        <v>0</v>
      </c>
      <c r="X132" s="870">
        <f t="shared" si="16"/>
        <v>0</v>
      </c>
      <c r="Y132" s="777">
        <f>+'Plan de Accion 2018'!AY56</f>
        <v>0.5</v>
      </c>
      <c r="Z132" s="892">
        <f t="shared" si="28"/>
        <v>0.5</v>
      </c>
      <c r="AA132" s="878">
        <f t="shared" si="20"/>
        <v>0.5</v>
      </c>
      <c r="AB132" s="336"/>
      <c r="AC132" s="330">
        <f>+'Plan de Accion 2018'!BE56</f>
        <v>0</v>
      </c>
      <c r="AD132" s="331">
        <f>+'Plan de Accion 2018'!BR56</f>
        <v>0</v>
      </c>
      <c r="AE132" s="870">
        <f t="shared" si="18"/>
        <v>0</v>
      </c>
      <c r="AF132" s="777">
        <f>+'Plan de Accion 2018'!BI56</f>
        <v>0.5</v>
      </c>
      <c r="AG132" s="878">
        <f t="shared" si="19"/>
        <v>0.5</v>
      </c>
      <c r="AH132" s="351"/>
      <c r="AI132" s="363"/>
      <c r="AJ132" s="353"/>
      <c r="AK132" s="353"/>
      <c r="AL132" s="321"/>
      <c r="AM132" s="354"/>
      <c r="AN132" s="353"/>
      <c r="AO132" s="321"/>
      <c r="AP132" s="353"/>
      <c r="AQ132" s="353"/>
      <c r="AR132" s="321"/>
      <c r="AS132" s="353"/>
      <c r="AT132" s="353"/>
      <c r="AU132" s="328"/>
      <c r="AV132" s="350"/>
      <c r="AW132" s="367"/>
      <c r="AX132" s="353"/>
      <c r="AY132" s="353"/>
      <c r="AZ132" s="321"/>
      <c r="BA132" s="354"/>
      <c r="BB132" s="353"/>
      <c r="BC132" s="321"/>
      <c r="BD132" s="353"/>
      <c r="BE132" s="353"/>
      <c r="BF132" s="321"/>
      <c r="BG132" s="353"/>
      <c r="BH132" s="353"/>
      <c r="BI132" s="328"/>
      <c r="BJ132" s="350"/>
      <c r="BL132" s="353"/>
      <c r="BM132" s="353"/>
      <c r="BN132" s="321"/>
      <c r="BO132" s="354"/>
      <c r="BP132" s="353"/>
      <c r="BQ132" s="321"/>
      <c r="BR132" s="353"/>
      <c r="BS132" s="353"/>
      <c r="BT132" s="321"/>
      <c r="BU132" s="353"/>
      <c r="BV132" s="353"/>
      <c r="BW132" s="328"/>
      <c r="BX132" s="350"/>
      <c r="BZ132" s="353"/>
      <c r="CA132" s="353"/>
      <c r="CB132" s="321"/>
      <c r="CC132" s="354"/>
      <c r="CD132" s="353"/>
      <c r="CE132" s="321"/>
      <c r="CF132" s="353"/>
      <c r="CG132" s="353"/>
      <c r="CH132" s="321"/>
      <c r="CI132" s="353"/>
      <c r="CJ132" s="353"/>
      <c r="CK132" s="328"/>
      <c r="CL132" s="350"/>
    </row>
    <row r="133" spans="2:90" ht="57" x14ac:dyDescent="0.25">
      <c r="B133" s="1152"/>
      <c r="C133" s="1140"/>
      <c r="D133" s="332" t="str">
        <f>+'Plan de Accion 2018'!F57</f>
        <v>Saldos a favor de ADRES en el proceso LMA</v>
      </c>
      <c r="E133" s="1158"/>
      <c r="F133" s="356" t="str">
        <f>+'Plan de Accion 2018'!R57</f>
        <v># Solicitudes de Aclaración Enviadas a las EPS / EPS con Saldos a Favor de ADRES en el Proceso de LMA</v>
      </c>
      <c r="G133" s="378"/>
      <c r="H133" s="776">
        <f>+'Plan de Accion 2018'!AA57</f>
        <v>0.25</v>
      </c>
      <c r="I133" s="777">
        <f>+'Plan de Accion 2018'!BL57</f>
        <v>1</v>
      </c>
      <c r="J133" s="777">
        <f t="shared" si="21"/>
        <v>1</v>
      </c>
      <c r="K133" s="777">
        <f>+'Plan de Accion 2018'!AE57</f>
        <v>0.25</v>
      </c>
      <c r="L133" s="777">
        <f t="shared" si="22"/>
        <v>0.25</v>
      </c>
      <c r="M133" s="1391">
        <f t="shared" si="23"/>
        <v>0.25</v>
      </c>
      <c r="N133" s="887"/>
      <c r="O133" s="776">
        <f>+'Plan de Accion 2018'!AK57</f>
        <v>0.25</v>
      </c>
      <c r="P133" s="777">
        <f>+'Plan de Accion 2018'!BN57</f>
        <v>1</v>
      </c>
      <c r="Q133" s="870">
        <f t="shared" si="13"/>
        <v>1</v>
      </c>
      <c r="R133" s="892">
        <f>+'Plan de Accion 2018'!AO57</f>
        <v>0.5</v>
      </c>
      <c r="S133" s="892">
        <f t="shared" si="14"/>
        <v>0.5</v>
      </c>
      <c r="T133" s="878">
        <f t="shared" si="15"/>
        <v>0.5</v>
      </c>
      <c r="U133" s="336"/>
      <c r="V133" s="776">
        <f>+'Plan de Accion 2018'!AU57</f>
        <v>0</v>
      </c>
      <c r="W133" s="777">
        <f>+'Plan de Accion 2018'!BP57</f>
        <v>0</v>
      </c>
      <c r="X133" s="870">
        <f t="shared" si="16"/>
        <v>0</v>
      </c>
      <c r="Y133" s="777">
        <f>+'Plan de Accion 2018'!AY57</f>
        <v>0.5</v>
      </c>
      <c r="Z133" s="892">
        <f t="shared" si="28"/>
        <v>0.5</v>
      </c>
      <c r="AA133" s="878">
        <f t="shared" si="20"/>
        <v>0.5</v>
      </c>
      <c r="AB133" s="336"/>
      <c r="AC133" s="330">
        <f>+'Plan de Accion 2018'!BE57</f>
        <v>0</v>
      </c>
      <c r="AD133" s="331">
        <f>+'Plan de Accion 2018'!BR57</f>
        <v>0</v>
      </c>
      <c r="AE133" s="870">
        <f t="shared" si="18"/>
        <v>0</v>
      </c>
      <c r="AF133" s="777">
        <f>+'Plan de Accion 2018'!BI57</f>
        <v>0.5</v>
      </c>
      <c r="AG133" s="878">
        <f t="shared" si="19"/>
        <v>0.5</v>
      </c>
      <c r="AH133" s="347"/>
      <c r="AI133" s="363"/>
      <c r="AJ133" s="353"/>
      <c r="AK133" s="353"/>
      <c r="AL133" s="321"/>
      <c r="AM133" s="354"/>
      <c r="AN133" s="353"/>
      <c r="AO133" s="321"/>
      <c r="AP133" s="353"/>
      <c r="AQ133" s="353"/>
      <c r="AR133" s="321"/>
      <c r="AS133" s="353"/>
      <c r="AT133" s="353"/>
      <c r="AU133" s="328"/>
      <c r="AV133" s="350"/>
      <c r="AW133" s="367"/>
      <c r="AX133" s="353"/>
      <c r="AY133" s="353"/>
      <c r="AZ133" s="321"/>
      <c r="BA133" s="354"/>
      <c r="BB133" s="353"/>
      <c r="BC133" s="321"/>
      <c r="BD133" s="353"/>
      <c r="BE133" s="353"/>
      <c r="BF133" s="321"/>
      <c r="BG133" s="353"/>
      <c r="BH133" s="353"/>
      <c r="BI133" s="328"/>
      <c r="BJ133" s="350"/>
      <c r="BL133" s="353"/>
      <c r="BM133" s="353"/>
      <c r="BN133" s="321"/>
      <c r="BO133" s="354"/>
      <c r="BP133" s="353"/>
      <c r="BQ133" s="321"/>
      <c r="BR133" s="353"/>
      <c r="BS133" s="353"/>
      <c r="BT133" s="321"/>
      <c r="BU133" s="353"/>
      <c r="BV133" s="353"/>
      <c r="BW133" s="328"/>
      <c r="BX133" s="350"/>
      <c r="BZ133" s="353"/>
      <c r="CA133" s="353"/>
      <c r="CB133" s="321"/>
      <c r="CC133" s="354"/>
      <c r="CD133" s="353"/>
      <c r="CE133" s="321"/>
      <c r="CF133" s="353"/>
      <c r="CG133" s="353"/>
      <c r="CH133" s="321"/>
      <c r="CI133" s="353"/>
      <c r="CJ133" s="353"/>
      <c r="CK133" s="328"/>
      <c r="CL133" s="350"/>
    </row>
    <row r="134" spans="2:90" ht="42.75" x14ac:dyDescent="0.25">
      <c r="B134" s="1152"/>
      <c r="C134" s="1140"/>
      <c r="D134" s="332" t="str">
        <f>+'Plan de Accion 2018'!F58</f>
        <v>Compra Directa de Cartera</v>
      </c>
      <c r="E134" s="1158"/>
      <c r="F134" s="356" t="str">
        <f>+'Plan de Accion 2018'!R58</f>
        <v># Compras de cartera realizadas/# Compras de carteras proyectadas</v>
      </c>
      <c r="G134" s="378"/>
      <c r="H134" s="776">
        <f>+'Plan de Accion 2018'!AA58</f>
        <v>0</v>
      </c>
      <c r="I134" s="777" t="str">
        <f>+'Plan de Accion 2018'!BL58</f>
        <v>No Prog ni Ejec</v>
      </c>
      <c r="J134" s="777" t="s">
        <v>792</v>
      </c>
      <c r="K134" s="777">
        <f>+'Plan de Accion 2018'!AE58</f>
        <v>0</v>
      </c>
      <c r="L134" s="777">
        <f t="shared" si="22"/>
        <v>0</v>
      </c>
      <c r="M134" s="1391" t="s">
        <v>792</v>
      </c>
      <c r="N134" s="887"/>
      <c r="O134" s="776">
        <f>+'Plan de Accion 2018'!AK58</f>
        <v>0</v>
      </c>
      <c r="P134" s="777" t="str">
        <f>+'Plan de Accion 2018'!BN58</f>
        <v>No Prog ni Ejec</v>
      </c>
      <c r="Q134" s="870" t="s">
        <v>792</v>
      </c>
      <c r="R134" s="892">
        <f>+'Plan de Accion 2018'!AO58</f>
        <v>0</v>
      </c>
      <c r="S134" s="892">
        <f t="shared" si="14"/>
        <v>0</v>
      </c>
      <c r="T134" s="878" t="s">
        <v>792</v>
      </c>
      <c r="U134" s="336"/>
      <c r="V134" s="776">
        <f>+'Plan de Accion 2018'!AU58</f>
        <v>0</v>
      </c>
      <c r="W134" s="777" t="str">
        <f>+'Plan de Accion 2018'!BP58</f>
        <v>No Prog ni Ejec</v>
      </c>
      <c r="X134" s="870" t="s">
        <v>792</v>
      </c>
      <c r="Y134" s="777">
        <f>+'Plan de Accion 2018'!AY58</f>
        <v>0</v>
      </c>
      <c r="Z134" s="892">
        <f t="shared" si="28"/>
        <v>0</v>
      </c>
      <c r="AA134" s="878" t="s">
        <v>792</v>
      </c>
      <c r="AB134" s="336"/>
      <c r="AC134" s="776">
        <f>+'Plan de Accion 2018'!BE58</f>
        <v>0</v>
      </c>
      <c r="AD134" s="777">
        <f>+'Plan de Accion 2018'!BR58</f>
        <v>0</v>
      </c>
      <c r="AE134" s="870">
        <f t="shared" si="18"/>
        <v>0</v>
      </c>
      <c r="AF134" s="777">
        <f>+'Plan de Accion 2018'!BI58</f>
        <v>0</v>
      </c>
      <c r="AG134" s="878">
        <f t="shared" si="19"/>
        <v>0</v>
      </c>
      <c r="AH134" s="349"/>
      <c r="AI134" s="363"/>
      <c r="AJ134" s="353"/>
      <c r="AK134" s="353"/>
      <c r="AL134" s="321"/>
      <c r="AM134" s="354"/>
      <c r="AN134" s="353"/>
      <c r="AO134" s="321"/>
      <c r="AP134" s="353"/>
      <c r="AQ134" s="353"/>
      <c r="AR134" s="321"/>
      <c r="AS134" s="353"/>
      <c r="AT134" s="353"/>
      <c r="AU134" s="328"/>
      <c r="AV134" s="350"/>
      <c r="AW134" s="367"/>
      <c r="AX134" s="353"/>
      <c r="AY134" s="353"/>
      <c r="AZ134" s="321"/>
      <c r="BA134" s="354"/>
      <c r="BB134" s="353"/>
      <c r="BC134" s="321"/>
      <c r="BD134" s="353"/>
      <c r="BE134" s="353"/>
      <c r="BF134" s="321"/>
      <c r="BG134" s="353"/>
      <c r="BH134" s="353"/>
      <c r="BI134" s="328"/>
      <c r="BJ134" s="350"/>
      <c r="BL134" s="353"/>
      <c r="BM134" s="353"/>
      <c r="BN134" s="321"/>
      <c r="BO134" s="354"/>
      <c r="BP134" s="353"/>
      <c r="BQ134" s="321"/>
      <c r="BR134" s="353"/>
      <c r="BS134" s="353"/>
      <c r="BT134" s="321"/>
      <c r="BU134" s="353"/>
      <c r="BV134" s="353"/>
      <c r="BW134" s="328"/>
      <c r="BX134" s="350"/>
      <c r="BZ134" s="353"/>
      <c r="CA134" s="353"/>
      <c r="CB134" s="321"/>
      <c r="CC134" s="354"/>
      <c r="CD134" s="353"/>
      <c r="CE134" s="321"/>
      <c r="CF134" s="353"/>
      <c r="CG134" s="353"/>
      <c r="CH134" s="321"/>
      <c r="CI134" s="353"/>
      <c r="CJ134" s="353"/>
      <c r="CK134" s="328"/>
      <c r="CL134" s="350"/>
    </row>
    <row r="135" spans="2:90" ht="54.95" customHeight="1" thickBot="1" x14ac:dyDescent="0.3">
      <c r="B135" s="1152"/>
      <c r="C135" s="1140"/>
      <c r="D135" s="332" t="str">
        <f>+'Plan de Accion 2018'!F59</f>
        <v>Certificación descuento proceso LMA - Findeter línea compensada</v>
      </c>
      <c r="E135" s="1158"/>
      <c r="F135" s="356" t="str">
        <f>+'Plan de Accion 2018'!R59</f>
        <v># Certificaciones remitidas/# Certificaciones proyectadas de acuerdo con el # de procesos en los que sea necesario aplicar</v>
      </c>
      <c r="G135" s="378"/>
      <c r="H135" s="776">
        <f>+'Plan de Accion 2018'!AA59</f>
        <v>0.25</v>
      </c>
      <c r="I135" s="777">
        <f>+'Plan de Accion 2018'!BL59</f>
        <v>1</v>
      </c>
      <c r="J135" s="777">
        <f t="shared" si="21"/>
        <v>1</v>
      </c>
      <c r="K135" s="777">
        <f>+'Plan de Accion 2018'!AE59</f>
        <v>0.25</v>
      </c>
      <c r="L135" s="777">
        <f t="shared" si="22"/>
        <v>0.25</v>
      </c>
      <c r="M135" s="1391">
        <f t="shared" si="23"/>
        <v>0.25</v>
      </c>
      <c r="N135" s="887"/>
      <c r="O135" s="776">
        <f>+'Plan de Accion 2018'!AK59</f>
        <v>0.25</v>
      </c>
      <c r="P135" s="777">
        <f>+'Plan de Accion 2018'!BN59</f>
        <v>1</v>
      </c>
      <c r="Q135" s="870">
        <f t="shared" si="13"/>
        <v>1</v>
      </c>
      <c r="R135" s="892">
        <f>+'Plan de Accion 2018'!AO59</f>
        <v>0.5</v>
      </c>
      <c r="S135" s="892">
        <f t="shared" si="14"/>
        <v>0.5</v>
      </c>
      <c r="T135" s="878">
        <f t="shared" si="15"/>
        <v>0.5</v>
      </c>
      <c r="U135" s="336"/>
      <c r="V135" s="776">
        <f>+'Plan de Accion 2018'!AU59</f>
        <v>0</v>
      </c>
      <c r="W135" s="777">
        <f>+'Plan de Accion 2018'!BP59</f>
        <v>0</v>
      </c>
      <c r="X135" s="870">
        <f t="shared" si="16"/>
        <v>0</v>
      </c>
      <c r="Y135" s="777">
        <f>+'Plan de Accion 2018'!AY59</f>
        <v>0.5</v>
      </c>
      <c r="Z135" s="892">
        <f t="shared" si="28"/>
        <v>0.5</v>
      </c>
      <c r="AA135" s="878">
        <f t="shared" si="20"/>
        <v>0.5</v>
      </c>
      <c r="AB135" s="336"/>
      <c r="AC135" s="330">
        <f>+'Plan de Accion 2018'!BE59</f>
        <v>0</v>
      </c>
      <c r="AD135" s="331">
        <f>+'Plan de Accion 2018'!BR59</f>
        <v>0</v>
      </c>
      <c r="AE135" s="870">
        <f t="shared" si="18"/>
        <v>0</v>
      </c>
      <c r="AF135" s="777">
        <f>+'Plan de Accion 2018'!BI59</f>
        <v>0.5</v>
      </c>
      <c r="AG135" s="878">
        <f t="shared" si="19"/>
        <v>0.5</v>
      </c>
      <c r="AH135" s="351"/>
      <c r="AI135" s="363"/>
      <c r="AJ135" s="353"/>
      <c r="AK135" s="353"/>
      <c r="AL135" s="321"/>
      <c r="AM135" s="354"/>
      <c r="AN135" s="353"/>
      <c r="AO135" s="321"/>
      <c r="AP135" s="353"/>
      <c r="AQ135" s="353"/>
      <c r="AR135" s="321"/>
      <c r="AS135" s="353"/>
      <c r="AT135" s="353"/>
      <c r="AU135" s="328"/>
      <c r="AV135" s="350"/>
      <c r="AW135" s="367"/>
      <c r="AX135" s="353"/>
      <c r="AY135" s="353"/>
      <c r="AZ135" s="321"/>
      <c r="BA135" s="354"/>
      <c r="BB135" s="353"/>
      <c r="BC135" s="321"/>
      <c r="BD135" s="353"/>
      <c r="BE135" s="353"/>
      <c r="BF135" s="321"/>
      <c r="BG135" s="353"/>
      <c r="BH135" s="353"/>
      <c r="BI135" s="328"/>
      <c r="BJ135" s="350"/>
      <c r="BL135" s="353"/>
      <c r="BM135" s="353"/>
      <c r="BN135" s="321"/>
      <c r="BO135" s="354"/>
      <c r="BP135" s="353"/>
      <c r="BQ135" s="321"/>
      <c r="BR135" s="353"/>
      <c r="BS135" s="353"/>
      <c r="BT135" s="321"/>
      <c r="BU135" s="353"/>
      <c r="BV135" s="353"/>
      <c r="BW135" s="328"/>
      <c r="BX135" s="350"/>
      <c r="BZ135" s="353"/>
      <c r="CA135" s="353"/>
      <c r="CB135" s="321"/>
      <c r="CC135" s="354"/>
      <c r="CD135" s="353"/>
      <c r="CE135" s="321"/>
      <c r="CF135" s="353"/>
      <c r="CG135" s="353"/>
      <c r="CH135" s="321"/>
      <c r="CI135" s="353"/>
      <c r="CJ135" s="353"/>
      <c r="CK135" s="328"/>
      <c r="CL135" s="350"/>
    </row>
    <row r="136" spans="2:90" ht="71.25" x14ac:dyDescent="0.25">
      <c r="B136" s="1152"/>
      <c r="C136" s="1140"/>
      <c r="D136" s="332" t="str">
        <f>+'Plan de Accion 2018'!F60</f>
        <v>Certificación descuento proceso de compensación - Findeter línea compensada</v>
      </c>
      <c r="E136" s="1158"/>
      <c r="F136" s="356" t="str">
        <f>+'Plan de Accion 2018'!R60</f>
        <v># Certificaciones remitidas/# Certificaciones proyectadas de acuerdo con el # de procesos en los que sea necesario aplicar</v>
      </c>
      <c r="G136" s="378"/>
      <c r="H136" s="776">
        <f>+'Plan de Accion 2018'!AA60</f>
        <v>0.25</v>
      </c>
      <c r="I136" s="777">
        <f>+'Plan de Accion 2018'!BL60</f>
        <v>1</v>
      </c>
      <c r="J136" s="777">
        <f t="shared" si="21"/>
        <v>1</v>
      </c>
      <c r="K136" s="777">
        <f>+'Plan de Accion 2018'!AE60</f>
        <v>0.25</v>
      </c>
      <c r="L136" s="777">
        <f t="shared" si="22"/>
        <v>0.25</v>
      </c>
      <c r="M136" s="1391">
        <f t="shared" si="23"/>
        <v>0.25</v>
      </c>
      <c r="N136" s="887"/>
      <c r="O136" s="776">
        <f>+'Plan de Accion 2018'!AK60</f>
        <v>0.25</v>
      </c>
      <c r="P136" s="777">
        <f>+'Plan de Accion 2018'!BN60</f>
        <v>1</v>
      </c>
      <c r="Q136" s="870">
        <f t="shared" si="13"/>
        <v>1</v>
      </c>
      <c r="R136" s="892">
        <f>+'Plan de Accion 2018'!AO60</f>
        <v>0.5</v>
      </c>
      <c r="S136" s="892">
        <f t="shared" si="14"/>
        <v>0.5</v>
      </c>
      <c r="T136" s="878">
        <f t="shared" si="15"/>
        <v>0.5</v>
      </c>
      <c r="U136" s="336"/>
      <c r="V136" s="776">
        <f>+'Plan de Accion 2018'!AU60</f>
        <v>0</v>
      </c>
      <c r="W136" s="777">
        <f>+'Plan de Accion 2018'!BP60</f>
        <v>0</v>
      </c>
      <c r="X136" s="870">
        <f t="shared" si="16"/>
        <v>0</v>
      </c>
      <c r="Y136" s="777">
        <f>+'Plan de Accion 2018'!AY60</f>
        <v>0.5</v>
      </c>
      <c r="Z136" s="892">
        <f t="shared" si="28"/>
        <v>0.5</v>
      </c>
      <c r="AA136" s="878">
        <f t="shared" si="20"/>
        <v>0.5</v>
      </c>
      <c r="AB136" s="336"/>
      <c r="AC136" s="330">
        <f>+'Plan de Accion 2018'!BE60</f>
        <v>0</v>
      </c>
      <c r="AD136" s="331">
        <f>+'Plan de Accion 2018'!BR60</f>
        <v>0</v>
      </c>
      <c r="AE136" s="870">
        <f t="shared" si="18"/>
        <v>0</v>
      </c>
      <c r="AF136" s="777">
        <f>+'Plan de Accion 2018'!BI60</f>
        <v>0.5</v>
      </c>
      <c r="AG136" s="878">
        <f t="shared" si="19"/>
        <v>0.5</v>
      </c>
      <c r="AH136" s="390"/>
      <c r="AI136" s="363"/>
      <c r="AJ136" s="354"/>
      <c r="AK136" s="355"/>
      <c r="AL136" s="321"/>
      <c r="AM136" s="354"/>
      <c r="AN136" s="355"/>
      <c r="AO136" s="321"/>
      <c r="AP136" s="354"/>
      <c r="AQ136" s="355"/>
      <c r="AR136" s="321"/>
      <c r="AS136" s="354"/>
      <c r="AT136" s="355"/>
      <c r="AU136" s="328"/>
      <c r="AV136" s="390"/>
      <c r="AW136" s="367"/>
      <c r="AX136" s="354"/>
      <c r="AY136" s="355"/>
      <c r="AZ136" s="321"/>
      <c r="BA136" s="354"/>
      <c r="BB136" s="355"/>
      <c r="BC136" s="321"/>
      <c r="BD136" s="354"/>
      <c r="BE136" s="355"/>
      <c r="BF136" s="321"/>
      <c r="BG136" s="354"/>
      <c r="BH136" s="355"/>
      <c r="BI136" s="328"/>
      <c r="BJ136" s="390"/>
      <c r="BL136" s="354"/>
      <c r="BM136" s="355"/>
      <c r="BN136" s="321"/>
      <c r="BO136" s="354"/>
      <c r="BP136" s="355"/>
      <c r="BQ136" s="321"/>
      <c r="BR136" s="354"/>
      <c r="BS136" s="355"/>
      <c r="BT136" s="321"/>
      <c r="BU136" s="354"/>
      <c r="BV136" s="355"/>
      <c r="BW136" s="328"/>
      <c r="BX136" s="390"/>
      <c r="BZ136" s="354"/>
      <c r="CA136" s="355"/>
      <c r="CB136" s="321"/>
      <c r="CC136" s="354"/>
      <c r="CD136" s="355"/>
      <c r="CE136" s="321"/>
      <c r="CF136" s="354"/>
      <c r="CG136" s="355"/>
      <c r="CH136" s="321"/>
      <c r="CI136" s="354"/>
      <c r="CJ136" s="355"/>
      <c r="CK136" s="328"/>
      <c r="CL136" s="390"/>
    </row>
    <row r="137" spans="2:90" ht="71.25" x14ac:dyDescent="0.25">
      <c r="B137" s="1152"/>
      <c r="C137" s="1140"/>
      <c r="D137" s="332" t="str">
        <f>+'Plan de Accion 2018'!F61</f>
        <v>Certificación descuento proceso LMA - Compra de Cartera</v>
      </c>
      <c r="E137" s="1158"/>
      <c r="F137" s="356" t="str">
        <f>+'Plan de Accion 2018'!R61</f>
        <v># Certificaciones remitidas/# Certificaciones proyectadas de acuerdo con el # de procesos en los que sea necesario aplicar</v>
      </c>
      <c r="G137" s="378"/>
      <c r="H137" s="776">
        <f>+'Plan de Accion 2018'!AA61</f>
        <v>0.25</v>
      </c>
      <c r="I137" s="777">
        <f>+'Plan de Accion 2018'!BL61</f>
        <v>1</v>
      </c>
      <c r="J137" s="777">
        <f t="shared" si="21"/>
        <v>1</v>
      </c>
      <c r="K137" s="777">
        <f>+'Plan de Accion 2018'!AE61</f>
        <v>0.25</v>
      </c>
      <c r="L137" s="777">
        <f t="shared" si="22"/>
        <v>0.25</v>
      </c>
      <c r="M137" s="1391">
        <f t="shared" si="23"/>
        <v>0.25</v>
      </c>
      <c r="N137" s="887"/>
      <c r="O137" s="776">
        <f>+'Plan de Accion 2018'!AK61</f>
        <v>0.25</v>
      </c>
      <c r="P137" s="777">
        <f>+'Plan de Accion 2018'!BN61</f>
        <v>1</v>
      </c>
      <c r="Q137" s="870">
        <f t="shared" si="13"/>
        <v>1</v>
      </c>
      <c r="R137" s="892">
        <f>+'Plan de Accion 2018'!AO61</f>
        <v>0.5</v>
      </c>
      <c r="S137" s="892">
        <f t="shared" si="14"/>
        <v>0.5</v>
      </c>
      <c r="T137" s="878">
        <f t="shared" si="15"/>
        <v>0.5</v>
      </c>
      <c r="U137" s="336"/>
      <c r="V137" s="776">
        <f>+'Plan de Accion 2018'!AU61</f>
        <v>0</v>
      </c>
      <c r="W137" s="777">
        <f>+'Plan de Accion 2018'!BP61</f>
        <v>0</v>
      </c>
      <c r="X137" s="870">
        <f t="shared" si="16"/>
        <v>0</v>
      </c>
      <c r="Y137" s="777">
        <f>+'Plan de Accion 2018'!AY61</f>
        <v>0.5</v>
      </c>
      <c r="Z137" s="892">
        <f t="shared" si="28"/>
        <v>0.5</v>
      </c>
      <c r="AA137" s="878">
        <f t="shared" si="20"/>
        <v>0.5</v>
      </c>
      <c r="AB137" s="336"/>
      <c r="AC137" s="330">
        <f>+'Plan de Accion 2018'!BE61</f>
        <v>0</v>
      </c>
      <c r="AD137" s="331">
        <f>+'Plan de Accion 2018'!BR61</f>
        <v>0</v>
      </c>
      <c r="AE137" s="870">
        <f t="shared" si="18"/>
        <v>0</v>
      </c>
      <c r="AF137" s="777">
        <f>+'Plan de Accion 2018'!BI61</f>
        <v>0.5</v>
      </c>
      <c r="AG137" s="878">
        <f t="shared" si="19"/>
        <v>0.5</v>
      </c>
      <c r="AH137" s="390"/>
      <c r="AI137" s="363"/>
      <c r="AJ137" s="354"/>
      <c r="AK137" s="355"/>
      <c r="AL137" s="321"/>
      <c r="AM137" s="354"/>
      <c r="AN137" s="355"/>
      <c r="AO137" s="321"/>
      <c r="AP137" s="354"/>
      <c r="AQ137" s="355"/>
      <c r="AR137" s="321"/>
      <c r="AS137" s="354"/>
      <c r="AT137" s="355"/>
      <c r="AU137" s="328"/>
      <c r="AV137" s="390"/>
      <c r="AW137" s="367"/>
      <c r="AX137" s="354"/>
      <c r="AY137" s="355"/>
      <c r="AZ137" s="321"/>
      <c r="BA137" s="354"/>
      <c r="BB137" s="355"/>
      <c r="BC137" s="321"/>
      <c r="BD137" s="354"/>
      <c r="BE137" s="355"/>
      <c r="BF137" s="321"/>
      <c r="BG137" s="354"/>
      <c r="BH137" s="355"/>
      <c r="BI137" s="328"/>
      <c r="BJ137" s="390"/>
      <c r="BL137" s="354"/>
      <c r="BM137" s="355"/>
      <c r="BN137" s="321"/>
      <c r="BO137" s="354"/>
      <c r="BP137" s="355"/>
      <c r="BQ137" s="321"/>
      <c r="BR137" s="354"/>
      <c r="BS137" s="355"/>
      <c r="BT137" s="321"/>
      <c r="BU137" s="354"/>
      <c r="BV137" s="355"/>
      <c r="BW137" s="328"/>
      <c r="BX137" s="390"/>
      <c r="BZ137" s="354"/>
      <c r="CA137" s="355"/>
      <c r="CB137" s="321"/>
      <c r="CC137" s="354"/>
      <c r="CD137" s="355"/>
      <c r="CE137" s="321"/>
      <c r="CF137" s="354"/>
      <c r="CG137" s="355"/>
      <c r="CH137" s="321"/>
      <c r="CI137" s="354"/>
      <c r="CJ137" s="355"/>
      <c r="CK137" s="328"/>
      <c r="CL137" s="390"/>
    </row>
    <row r="138" spans="2:90" ht="71.25" x14ac:dyDescent="0.25">
      <c r="B138" s="1152"/>
      <c r="C138" s="1140"/>
      <c r="D138" s="332" t="str">
        <f>+'Plan de Accion 2018'!F62</f>
        <v>Certificación descuento proceso de compensación - Compra de Cartera</v>
      </c>
      <c r="E138" s="1158"/>
      <c r="F138" s="356" t="str">
        <f>+'Plan de Accion 2018'!R62</f>
        <v># Certificaciones remitidas/# Certificaciones proyectadas de acuerdo con el # de procesos en los que sea necesario aplicar</v>
      </c>
      <c r="G138" s="378"/>
      <c r="H138" s="776">
        <f>+'Plan de Accion 2018'!AA62</f>
        <v>0.25</v>
      </c>
      <c r="I138" s="777">
        <f>+'Plan de Accion 2018'!BL62</f>
        <v>1</v>
      </c>
      <c r="J138" s="777">
        <f t="shared" si="21"/>
        <v>1</v>
      </c>
      <c r="K138" s="777">
        <f>+'Plan de Accion 2018'!AE62</f>
        <v>0.25</v>
      </c>
      <c r="L138" s="777">
        <f t="shared" si="22"/>
        <v>0.25</v>
      </c>
      <c r="M138" s="1391">
        <f t="shared" si="23"/>
        <v>0.25</v>
      </c>
      <c r="N138" s="887"/>
      <c r="O138" s="776">
        <f>+'Plan de Accion 2018'!AK62</f>
        <v>0.25</v>
      </c>
      <c r="P138" s="777">
        <f>+'Plan de Accion 2018'!BN62</f>
        <v>1</v>
      </c>
      <c r="Q138" s="870">
        <f t="shared" si="13"/>
        <v>1</v>
      </c>
      <c r="R138" s="892">
        <f>+'Plan de Accion 2018'!AO62</f>
        <v>0.5</v>
      </c>
      <c r="S138" s="892">
        <f t="shared" si="14"/>
        <v>0.5</v>
      </c>
      <c r="T138" s="878">
        <f t="shared" si="15"/>
        <v>0.5</v>
      </c>
      <c r="U138" s="336"/>
      <c r="V138" s="776">
        <f>+'Plan de Accion 2018'!AU62</f>
        <v>0</v>
      </c>
      <c r="W138" s="777">
        <f>+'Plan de Accion 2018'!BP62</f>
        <v>0</v>
      </c>
      <c r="X138" s="870">
        <f t="shared" si="16"/>
        <v>0</v>
      </c>
      <c r="Y138" s="777">
        <f>+'Plan de Accion 2018'!AY62</f>
        <v>0.5</v>
      </c>
      <c r="Z138" s="892">
        <f t="shared" si="28"/>
        <v>0.5</v>
      </c>
      <c r="AA138" s="878">
        <f t="shared" si="20"/>
        <v>0.5</v>
      </c>
      <c r="AB138" s="336"/>
      <c r="AC138" s="330">
        <f>+'Plan de Accion 2018'!BE62</f>
        <v>0</v>
      </c>
      <c r="AD138" s="331">
        <f>+'Plan de Accion 2018'!BR62</f>
        <v>0</v>
      </c>
      <c r="AE138" s="870">
        <f t="shared" si="18"/>
        <v>0</v>
      </c>
      <c r="AF138" s="777">
        <f>+'Plan de Accion 2018'!BI62</f>
        <v>0.5</v>
      </c>
      <c r="AG138" s="878">
        <f t="shared" si="19"/>
        <v>0.5</v>
      </c>
      <c r="AH138" s="390"/>
      <c r="AI138" s="363"/>
      <c r="AJ138" s="354"/>
      <c r="AK138" s="355"/>
      <c r="AL138" s="321"/>
      <c r="AM138" s="354"/>
      <c r="AN138" s="355"/>
      <c r="AO138" s="321"/>
      <c r="AP138" s="354"/>
      <c r="AQ138" s="355"/>
      <c r="AR138" s="321"/>
      <c r="AS138" s="354"/>
      <c r="AT138" s="355"/>
      <c r="AU138" s="328"/>
      <c r="AV138" s="390"/>
      <c r="AW138" s="367"/>
      <c r="AX138" s="354"/>
      <c r="AY138" s="355"/>
      <c r="AZ138" s="321"/>
      <c r="BA138" s="354"/>
      <c r="BB138" s="355"/>
      <c r="BC138" s="321"/>
      <c r="BD138" s="354"/>
      <c r="BE138" s="355"/>
      <c r="BF138" s="321"/>
      <c r="BG138" s="354"/>
      <c r="BH138" s="355"/>
      <c r="BI138" s="328"/>
      <c r="BJ138" s="390"/>
      <c r="BL138" s="354"/>
      <c r="BM138" s="355"/>
      <c r="BN138" s="321"/>
      <c r="BO138" s="354"/>
      <c r="BP138" s="355"/>
      <c r="BQ138" s="321"/>
      <c r="BR138" s="354"/>
      <c r="BS138" s="355"/>
      <c r="BT138" s="321"/>
      <c r="BU138" s="354"/>
      <c r="BV138" s="355"/>
      <c r="BW138" s="328"/>
      <c r="BX138" s="390"/>
      <c r="BZ138" s="354"/>
      <c r="CA138" s="355"/>
      <c r="CB138" s="321"/>
      <c r="CC138" s="354"/>
      <c r="CD138" s="355"/>
      <c r="CE138" s="321"/>
      <c r="CF138" s="354"/>
      <c r="CG138" s="355"/>
      <c r="CH138" s="321"/>
      <c r="CI138" s="354"/>
      <c r="CJ138" s="355"/>
      <c r="CK138" s="328"/>
      <c r="CL138" s="390"/>
    </row>
    <row r="139" spans="2:90" ht="71.25" x14ac:dyDescent="0.25">
      <c r="B139" s="1152"/>
      <c r="C139" s="1140"/>
      <c r="D139" s="332" t="str">
        <f>+'Plan de Accion 2018'!F67</f>
        <v>Proceso de Giro Previo realizado a favor de las entidades recobrantes y proveedores servicios y tecnologías no incluidas en el PB con cargo a la UPC</v>
      </c>
      <c r="E139" s="1158" t="str">
        <f>+'Plan de Accion 2018'!B67</f>
        <v xml:space="preserve">Dirección de Otras Prestaciones  </v>
      </c>
      <c r="F139" s="356" t="str">
        <f>+'Plan de Accion 2018'!R67</f>
        <v xml:space="preserve"># Procesos de Ordenación de gasto del Giro previo </v>
      </c>
      <c r="G139" s="378"/>
      <c r="H139" s="391">
        <f>+'Plan de Accion 2018'!AA67</f>
        <v>3</v>
      </c>
      <c r="I139" s="777">
        <f>+'Plan de Accion 2018'!BL67</f>
        <v>1</v>
      </c>
      <c r="J139" s="777">
        <f t="shared" si="21"/>
        <v>1</v>
      </c>
      <c r="K139" s="777">
        <f>+'Plan de Accion 2018'!AE67</f>
        <v>0.25</v>
      </c>
      <c r="L139" s="777">
        <f t="shared" si="22"/>
        <v>0.25</v>
      </c>
      <c r="M139" s="1391">
        <f t="shared" si="23"/>
        <v>0.25</v>
      </c>
      <c r="N139" s="887"/>
      <c r="O139" s="780">
        <f>+'Plan de Accion 2018'!AK67</f>
        <v>3</v>
      </c>
      <c r="P139" s="777">
        <f>+'Plan de Accion 2018'!BN67</f>
        <v>1</v>
      </c>
      <c r="Q139" s="870">
        <f t="shared" si="13"/>
        <v>1</v>
      </c>
      <c r="R139" s="892">
        <f>+'Plan de Accion 2018'!AO67</f>
        <v>0.5</v>
      </c>
      <c r="S139" s="892">
        <f t="shared" si="14"/>
        <v>0.5</v>
      </c>
      <c r="T139" s="878">
        <f t="shared" si="15"/>
        <v>0.5</v>
      </c>
      <c r="U139" s="336"/>
      <c r="V139" s="780">
        <f>+'Plan de Accion 2018'!AU67</f>
        <v>0</v>
      </c>
      <c r="W139" s="777">
        <f>+'Plan de Accion 2018'!BP67</f>
        <v>0</v>
      </c>
      <c r="X139" s="870">
        <f t="shared" si="16"/>
        <v>0</v>
      </c>
      <c r="Y139" s="777">
        <f>+'Plan de Accion 2018'!AY67</f>
        <v>0.5</v>
      </c>
      <c r="Z139" s="892">
        <f t="shared" si="28"/>
        <v>0.5</v>
      </c>
      <c r="AA139" s="878">
        <f t="shared" si="20"/>
        <v>0.5</v>
      </c>
      <c r="AB139" s="336"/>
      <c r="AC139" s="780">
        <f>+'Plan de Accion 2018'!BE67</f>
        <v>0</v>
      </c>
      <c r="AD139" s="331">
        <f>+'Plan de Accion 2018'!BR67</f>
        <v>0</v>
      </c>
      <c r="AE139" s="870">
        <f t="shared" si="18"/>
        <v>0</v>
      </c>
      <c r="AF139" s="777">
        <f>+'Plan de Accion 2018'!BI67</f>
        <v>0.5</v>
      </c>
      <c r="AG139" s="878">
        <f t="shared" si="19"/>
        <v>0.5</v>
      </c>
      <c r="AH139" s="390"/>
      <c r="AI139" s="363"/>
      <c r="AJ139" s="354"/>
      <c r="AK139" s="355"/>
      <c r="AL139" s="321"/>
      <c r="AM139" s="354"/>
      <c r="AN139" s="355"/>
      <c r="AO139" s="321"/>
      <c r="AP139" s="354"/>
      <c r="AQ139" s="355"/>
      <c r="AR139" s="321"/>
      <c r="AS139" s="354"/>
      <c r="AT139" s="355"/>
      <c r="AU139" s="328"/>
      <c r="AV139" s="390"/>
      <c r="AW139" s="367"/>
      <c r="AX139" s="354"/>
      <c r="AY139" s="355"/>
      <c r="AZ139" s="321"/>
      <c r="BA139" s="354"/>
      <c r="BB139" s="355"/>
      <c r="BC139" s="321"/>
      <c r="BD139" s="354"/>
      <c r="BE139" s="355"/>
      <c r="BF139" s="321"/>
      <c r="BG139" s="354"/>
      <c r="BH139" s="355"/>
      <c r="BI139" s="328"/>
      <c r="BJ139" s="390"/>
      <c r="BL139" s="354"/>
      <c r="BM139" s="355"/>
      <c r="BN139" s="321"/>
      <c r="BO139" s="354"/>
      <c r="BP139" s="355"/>
      <c r="BQ139" s="321"/>
      <c r="BR139" s="354"/>
      <c r="BS139" s="355"/>
      <c r="BT139" s="321"/>
      <c r="BU139" s="354"/>
      <c r="BV139" s="355"/>
      <c r="BW139" s="328"/>
      <c r="BX139" s="390"/>
      <c r="BZ139" s="354"/>
      <c r="CA139" s="355"/>
      <c r="CB139" s="321"/>
      <c r="CC139" s="354"/>
      <c r="CD139" s="355"/>
      <c r="CE139" s="321"/>
      <c r="CF139" s="354"/>
      <c r="CG139" s="355"/>
      <c r="CH139" s="321"/>
      <c r="CI139" s="354"/>
      <c r="CJ139" s="355"/>
      <c r="CK139" s="328"/>
      <c r="CL139" s="390"/>
    </row>
    <row r="140" spans="2:90" ht="99.75" customHeight="1" x14ac:dyDescent="0.25">
      <c r="B140" s="1152"/>
      <c r="C140" s="1140"/>
      <c r="D140" s="1099" t="str">
        <f>+'Plan de Accion 2018'!F68</f>
        <v>Paquetes de recobros cuyo trámite de auditoría haya culminado, reconocidos y pagados por parte de ADRES.</v>
      </c>
      <c r="E140" s="1158"/>
      <c r="F140" s="1183" t="str">
        <f>+'Plan de Accion 2018'!R68</f>
        <v># De ordenaciones realizadas de paquetes de recobros MYT0102 con resultado de auditoría culminado/ # Paquetes MYT0102 cuyo tramite de auditoria haya culminado</v>
      </c>
      <c r="G140" s="378"/>
      <c r="H140" s="776">
        <f>+'Plan de Accion 2018'!AA68</f>
        <v>0.25</v>
      </c>
      <c r="I140" s="777">
        <f>+'Plan de Accion 2018'!BL68</f>
        <v>1</v>
      </c>
      <c r="J140" s="777">
        <f t="shared" si="21"/>
        <v>1</v>
      </c>
      <c r="K140" s="777">
        <f>+'Plan de Accion 2018'!AE68</f>
        <v>0.25</v>
      </c>
      <c r="L140" s="777">
        <f t="shared" si="22"/>
        <v>0.25</v>
      </c>
      <c r="M140" s="1391">
        <f t="shared" si="23"/>
        <v>0.25</v>
      </c>
      <c r="N140" s="887"/>
      <c r="O140" s="776">
        <f>+'Plan de Accion 2018'!AK68</f>
        <v>0.25</v>
      </c>
      <c r="P140" s="777">
        <f>+'Plan de Accion 2018'!BN68</f>
        <v>1</v>
      </c>
      <c r="Q140" s="870">
        <f t="shared" si="13"/>
        <v>1</v>
      </c>
      <c r="R140" s="892">
        <f>+'Plan de Accion 2018'!AO68</f>
        <v>0.5</v>
      </c>
      <c r="S140" s="892">
        <f t="shared" si="14"/>
        <v>0.5</v>
      </c>
      <c r="T140" s="878">
        <f t="shared" si="15"/>
        <v>0.5</v>
      </c>
      <c r="U140" s="336"/>
      <c r="V140" s="776">
        <f>+'Plan de Accion 2018'!AU68</f>
        <v>0</v>
      </c>
      <c r="W140" s="777">
        <f>+'Plan de Accion 2018'!BP68</f>
        <v>0</v>
      </c>
      <c r="X140" s="870">
        <f t="shared" si="16"/>
        <v>0</v>
      </c>
      <c r="Y140" s="777">
        <f>+'Plan de Accion 2018'!AY68</f>
        <v>0.5</v>
      </c>
      <c r="Z140" s="892">
        <f t="shared" si="28"/>
        <v>0.5</v>
      </c>
      <c r="AA140" s="878">
        <f t="shared" si="20"/>
        <v>0.5</v>
      </c>
      <c r="AB140" s="336"/>
      <c r="AC140" s="330">
        <f>+'Plan de Accion 2018'!BE68</f>
        <v>0</v>
      </c>
      <c r="AD140" s="331">
        <f>+'Plan de Accion 2018'!BR68</f>
        <v>0</v>
      </c>
      <c r="AE140" s="870">
        <f t="shared" si="18"/>
        <v>0</v>
      </c>
      <c r="AF140" s="777">
        <f>+'Plan de Accion 2018'!BI68</f>
        <v>0.5</v>
      </c>
      <c r="AG140" s="878">
        <f t="shared" si="19"/>
        <v>0.5</v>
      </c>
      <c r="AH140" s="390"/>
      <c r="AI140" s="363"/>
      <c r="AJ140" s="354"/>
      <c r="AK140" s="355"/>
      <c r="AL140" s="321"/>
      <c r="AM140" s="354"/>
      <c r="AN140" s="355"/>
      <c r="AO140" s="321"/>
      <c r="AP140" s="354"/>
      <c r="AQ140" s="355"/>
      <c r="AR140" s="321"/>
      <c r="AS140" s="354"/>
      <c r="AT140" s="355"/>
      <c r="AU140" s="328"/>
      <c r="AV140" s="390"/>
      <c r="AW140" s="367"/>
      <c r="AX140" s="354"/>
      <c r="AY140" s="355"/>
      <c r="AZ140" s="321"/>
      <c r="BA140" s="354"/>
      <c r="BB140" s="355"/>
      <c r="BC140" s="321"/>
      <c r="BD140" s="354"/>
      <c r="BE140" s="355"/>
      <c r="BF140" s="321"/>
      <c r="BG140" s="354"/>
      <c r="BH140" s="355"/>
      <c r="BI140" s="328"/>
      <c r="BJ140" s="390"/>
      <c r="BL140" s="354"/>
      <c r="BM140" s="355"/>
      <c r="BN140" s="321"/>
      <c r="BO140" s="354"/>
      <c r="BP140" s="355"/>
      <c r="BQ140" s="321"/>
      <c r="BR140" s="354"/>
      <c r="BS140" s="355"/>
      <c r="BT140" s="321"/>
      <c r="BU140" s="354"/>
      <c r="BV140" s="355"/>
      <c r="BW140" s="328"/>
      <c r="BX140" s="390"/>
      <c r="BZ140" s="354"/>
      <c r="CA140" s="355"/>
      <c r="CB140" s="321"/>
      <c r="CC140" s="354"/>
      <c r="CD140" s="355"/>
      <c r="CE140" s="321"/>
      <c r="CF140" s="354"/>
      <c r="CG140" s="355"/>
      <c r="CH140" s="321"/>
      <c r="CI140" s="354"/>
      <c r="CJ140" s="355"/>
      <c r="CK140" s="328"/>
      <c r="CL140" s="390"/>
    </row>
    <row r="141" spans="2:90" ht="19.5" x14ac:dyDescent="0.25">
      <c r="B141" s="1152"/>
      <c r="C141" s="1140"/>
      <c r="D141" s="1100"/>
      <c r="E141" s="1158"/>
      <c r="F141" s="1161"/>
      <c r="G141" s="378"/>
      <c r="H141" s="776">
        <f>+'Plan de Accion 2018'!AA69</f>
        <v>0</v>
      </c>
      <c r="I141" s="777" t="str">
        <f>+'Plan de Accion 2018'!BL69</f>
        <v>No Prog ni Ejec</v>
      </c>
      <c r="J141" s="777" t="s">
        <v>792</v>
      </c>
      <c r="K141" s="777">
        <f>+'Plan de Accion 2018'!AE69</f>
        <v>0</v>
      </c>
      <c r="L141" s="777">
        <f t="shared" si="22"/>
        <v>0</v>
      </c>
      <c r="M141" s="1391" t="s">
        <v>792</v>
      </c>
      <c r="N141" s="887"/>
      <c r="O141" s="776">
        <f>+'Plan de Accion 2018'!AK69</f>
        <v>0</v>
      </c>
      <c r="P141" s="777" t="str">
        <f>+'Plan de Accion 2018'!BN69</f>
        <v>No Prog ni Ejec</v>
      </c>
      <c r="Q141" s="870" t="s">
        <v>792</v>
      </c>
      <c r="R141" s="892">
        <f>+'Plan de Accion 2018'!AO69</f>
        <v>0</v>
      </c>
      <c r="S141" s="892">
        <f t="shared" ref="S141:S204" si="29">IF(R141&gt;50%,50%,R141)</f>
        <v>0</v>
      </c>
      <c r="T141" s="878" t="s">
        <v>792</v>
      </c>
      <c r="U141" s="336"/>
      <c r="V141" s="776">
        <f>+'Plan de Accion 2018'!AU69</f>
        <v>0</v>
      </c>
      <c r="W141" s="777" t="str">
        <f>+'Plan de Accion 2018'!BP69</f>
        <v>No Prog ni Ejec</v>
      </c>
      <c r="X141" s="870" t="s">
        <v>792</v>
      </c>
      <c r="Y141" s="777">
        <f>+'Plan de Accion 2018'!AY69</f>
        <v>0</v>
      </c>
      <c r="Z141" s="892">
        <f t="shared" si="28"/>
        <v>0</v>
      </c>
      <c r="AA141" s="878" t="s">
        <v>792</v>
      </c>
      <c r="AB141" s="336"/>
      <c r="AC141" s="330">
        <f>+'Plan de Accion 2018'!BE69</f>
        <v>0</v>
      </c>
      <c r="AD141" s="331">
        <f>+'Plan de Accion 2018'!BR69</f>
        <v>0</v>
      </c>
      <c r="AE141" s="870">
        <f t="shared" ref="AE141:AE204" si="30">IF(AD141&gt;100%,100%,AD141)</f>
        <v>0</v>
      </c>
      <c r="AF141" s="777">
        <f>+'Plan de Accion 2018'!BI69</f>
        <v>0</v>
      </c>
      <c r="AG141" s="878">
        <f t="shared" ref="AG141:AG204" si="31">IF(AF141&gt;100%,100%,AF141)</f>
        <v>0</v>
      </c>
      <c r="AH141" s="390"/>
      <c r="AI141" s="363"/>
      <c r="AJ141" s="421"/>
      <c r="AK141" s="355"/>
      <c r="AL141" s="321"/>
      <c r="AM141" s="421"/>
      <c r="AN141" s="355"/>
      <c r="AO141" s="321"/>
      <c r="AP141" s="421"/>
      <c r="AQ141" s="355"/>
      <c r="AR141" s="321"/>
      <c r="AS141" s="421"/>
      <c r="AT141" s="355"/>
      <c r="AU141" s="328"/>
      <c r="AV141" s="390"/>
      <c r="AW141" s="367"/>
      <c r="AX141" s="421"/>
      <c r="AY141" s="355"/>
      <c r="AZ141" s="321"/>
      <c r="BA141" s="421"/>
      <c r="BB141" s="355"/>
      <c r="BC141" s="321"/>
      <c r="BD141" s="421"/>
      <c r="BE141" s="355"/>
      <c r="BF141" s="321"/>
      <c r="BG141" s="421"/>
      <c r="BH141" s="355"/>
      <c r="BI141" s="328"/>
      <c r="BJ141" s="390"/>
      <c r="BL141" s="421"/>
      <c r="BM141" s="355"/>
      <c r="BN141" s="321"/>
      <c r="BO141" s="421"/>
      <c r="BP141" s="355"/>
      <c r="BQ141" s="321"/>
      <c r="BR141" s="421"/>
      <c r="BS141" s="355"/>
      <c r="BT141" s="321"/>
      <c r="BU141" s="421"/>
      <c r="BV141" s="355"/>
      <c r="BW141" s="328"/>
      <c r="BX141" s="390"/>
      <c r="BZ141" s="421"/>
      <c r="CA141" s="355"/>
      <c r="CB141" s="321"/>
      <c r="CC141" s="421"/>
      <c r="CD141" s="355"/>
      <c r="CE141" s="321"/>
      <c r="CF141" s="421"/>
      <c r="CG141" s="355"/>
      <c r="CH141" s="321"/>
      <c r="CI141" s="421"/>
      <c r="CJ141" s="355"/>
      <c r="CK141" s="328"/>
      <c r="CL141" s="390"/>
    </row>
    <row r="142" spans="2:90" ht="28.5" x14ac:dyDescent="0.25">
      <c r="B142" s="1152"/>
      <c r="C142" s="1140"/>
      <c r="D142" s="332" t="str">
        <f>+'Plan de Accion 2018'!F70</f>
        <v>Giro Directo del giro previo publicados</v>
      </c>
      <c r="E142" s="1158"/>
      <c r="F142" s="356" t="str">
        <f>+'Plan de Accion 2018'!R70</f>
        <v># publicaciones de Giros Directos efectuados</v>
      </c>
      <c r="G142" s="378"/>
      <c r="H142" s="780">
        <f>+'Plan de Accion 2018'!AA70</f>
        <v>1</v>
      </c>
      <c r="I142" s="777">
        <f>+'Plan de Accion 2018'!BL70</f>
        <v>0.33333333333333331</v>
      </c>
      <c r="J142" s="777">
        <f t="shared" si="21"/>
        <v>0.33333333333333331</v>
      </c>
      <c r="K142" s="777">
        <f>+'Plan de Accion 2018'!AE70</f>
        <v>8.3333333333333329E-2</v>
      </c>
      <c r="L142" s="777">
        <f t="shared" si="22"/>
        <v>8.3333333333333329E-2</v>
      </c>
      <c r="M142" s="1391">
        <f t="shared" si="23"/>
        <v>8.3333333333333329E-2</v>
      </c>
      <c r="N142" s="887"/>
      <c r="O142" s="780">
        <f>+'Plan de Accion 2018'!AK70</f>
        <v>5</v>
      </c>
      <c r="P142" s="777">
        <f>+'Plan de Accion 2018'!BN70</f>
        <v>1.6666666666666667</v>
      </c>
      <c r="Q142" s="870">
        <f t="shared" ref="Q142:Q204" si="32">IF(P142&gt;100%,100%,P142)</f>
        <v>1</v>
      </c>
      <c r="R142" s="892">
        <f>+'Plan de Accion 2018'!AO70</f>
        <v>0.5</v>
      </c>
      <c r="S142" s="892">
        <f t="shared" si="29"/>
        <v>0.5</v>
      </c>
      <c r="T142" s="878">
        <f t="shared" ref="T142:T204" si="33">+S142</f>
        <v>0.5</v>
      </c>
      <c r="U142" s="887">
        <v>1</v>
      </c>
      <c r="V142" s="780">
        <f>+'Plan de Accion 2018'!AU70</f>
        <v>0</v>
      </c>
      <c r="W142" s="777">
        <f>+'Plan de Accion 2018'!BP70</f>
        <v>0</v>
      </c>
      <c r="X142" s="870">
        <f t="shared" ref="X142:X201" si="34">IF(W142&gt;100%,100%,W142)</f>
        <v>0</v>
      </c>
      <c r="Y142" s="777">
        <f>+'Plan de Accion 2018'!AY70</f>
        <v>0.5</v>
      </c>
      <c r="Z142" s="892">
        <f t="shared" si="28"/>
        <v>0.5</v>
      </c>
      <c r="AA142" s="878">
        <f t="shared" si="20"/>
        <v>0.5</v>
      </c>
      <c r="AB142" s="336"/>
      <c r="AC142" s="780">
        <f>+'Plan de Accion 2018'!BE70</f>
        <v>0</v>
      </c>
      <c r="AD142" s="331">
        <f>+'Plan de Accion 2018'!BR70</f>
        <v>0</v>
      </c>
      <c r="AE142" s="870">
        <f t="shared" si="30"/>
        <v>0</v>
      </c>
      <c r="AF142" s="777">
        <f>+'Plan de Accion 2018'!BI70</f>
        <v>0.5</v>
      </c>
      <c r="AG142" s="878">
        <f t="shared" si="31"/>
        <v>0.5</v>
      </c>
      <c r="AH142" s="390"/>
      <c r="AI142" s="363"/>
      <c r="AJ142" s="354"/>
      <c r="AK142" s="355"/>
      <c r="AL142" s="321"/>
      <c r="AM142" s="354"/>
      <c r="AN142" s="355"/>
      <c r="AO142" s="321"/>
      <c r="AP142" s="354"/>
      <c r="AQ142" s="355"/>
      <c r="AR142" s="321"/>
      <c r="AS142" s="354"/>
      <c r="AT142" s="355"/>
      <c r="AU142" s="328"/>
      <c r="AV142" s="390"/>
      <c r="AW142" s="367"/>
      <c r="AX142" s="354"/>
      <c r="AY142" s="355"/>
      <c r="AZ142" s="321"/>
      <c r="BA142" s="354"/>
      <c r="BB142" s="355"/>
      <c r="BC142" s="321"/>
      <c r="BD142" s="354"/>
      <c r="BE142" s="355"/>
      <c r="BF142" s="321"/>
      <c r="BG142" s="354"/>
      <c r="BH142" s="355"/>
      <c r="BI142" s="328"/>
      <c r="BJ142" s="390"/>
      <c r="BL142" s="354"/>
      <c r="BM142" s="355"/>
      <c r="BN142" s="321"/>
      <c r="BO142" s="354"/>
      <c r="BP142" s="355"/>
      <c r="BQ142" s="321"/>
      <c r="BR142" s="354"/>
      <c r="BS142" s="355"/>
      <c r="BT142" s="321"/>
      <c r="BU142" s="354"/>
      <c r="BV142" s="355"/>
      <c r="BW142" s="328"/>
      <c r="BX142" s="390"/>
      <c r="BZ142" s="354"/>
      <c r="CA142" s="355"/>
      <c r="CB142" s="321"/>
      <c r="CC142" s="354"/>
      <c r="CD142" s="355"/>
      <c r="CE142" s="321"/>
      <c r="CF142" s="354"/>
      <c r="CG142" s="355"/>
      <c r="CH142" s="321"/>
      <c r="CI142" s="354"/>
      <c r="CJ142" s="355"/>
      <c r="CK142" s="328"/>
      <c r="CL142" s="390"/>
    </row>
    <row r="143" spans="2:90" ht="85.5" x14ac:dyDescent="0.25">
      <c r="B143" s="1152"/>
      <c r="C143" s="1140"/>
      <c r="D143" s="332" t="str">
        <f>+'Plan de Accion 2018'!F72</f>
        <v xml:space="preserve">Boletines con resultados del proceso de reconocimiento y pago de recobros por concepto de servicios y tecnologías no cubiertos por el plan de beneficios con cargo a la UPC </v>
      </c>
      <c r="E143" s="1158"/>
      <c r="F143" s="356" t="str">
        <f>+'Plan de Accion 2018'!R72</f>
        <v># Boletines realizados</v>
      </c>
      <c r="G143" s="378"/>
      <c r="H143" s="780">
        <f>+'Plan de Accion 2018'!AA72</f>
        <v>1</v>
      </c>
      <c r="I143" s="777">
        <f>+'Plan de Accion 2018'!BL72</f>
        <v>1</v>
      </c>
      <c r="J143" s="777">
        <f t="shared" si="21"/>
        <v>1</v>
      </c>
      <c r="K143" s="777">
        <f>+'Plan de Accion 2018'!AE72</f>
        <v>0.25</v>
      </c>
      <c r="L143" s="777">
        <f t="shared" si="22"/>
        <v>0.25</v>
      </c>
      <c r="M143" s="1391">
        <f t="shared" si="23"/>
        <v>0.25</v>
      </c>
      <c r="N143" s="887"/>
      <c r="O143" s="780">
        <f>+'Plan de Accion 2018'!AK72</f>
        <v>1</v>
      </c>
      <c r="P143" s="777">
        <f>+'Plan de Accion 2018'!BN72</f>
        <v>1</v>
      </c>
      <c r="Q143" s="870">
        <f t="shared" si="32"/>
        <v>1</v>
      </c>
      <c r="R143" s="892">
        <f>+'Plan de Accion 2018'!AO72</f>
        <v>0.5</v>
      </c>
      <c r="S143" s="892">
        <f t="shared" si="29"/>
        <v>0.5</v>
      </c>
      <c r="T143" s="878">
        <f t="shared" si="33"/>
        <v>0.5</v>
      </c>
      <c r="U143" s="336"/>
      <c r="V143" s="780">
        <f>+'Plan de Accion 2018'!AU72</f>
        <v>0</v>
      </c>
      <c r="W143" s="777">
        <f>+'Plan de Accion 2018'!BP72</f>
        <v>0</v>
      </c>
      <c r="X143" s="870">
        <f t="shared" si="34"/>
        <v>0</v>
      </c>
      <c r="Y143" s="777">
        <f>+'Plan de Accion 2018'!AY72</f>
        <v>0.5</v>
      </c>
      <c r="Z143" s="892">
        <f t="shared" si="28"/>
        <v>0.5</v>
      </c>
      <c r="AA143" s="878">
        <f t="shared" ref="AA143:AA205" si="35">+Z143</f>
        <v>0.5</v>
      </c>
      <c r="AB143" s="336"/>
      <c r="AC143" s="780">
        <f>+'Plan de Accion 2018'!BE72</f>
        <v>0</v>
      </c>
      <c r="AD143" s="331">
        <f>+'Plan de Accion 2018'!BR72</f>
        <v>0</v>
      </c>
      <c r="AE143" s="870">
        <f t="shared" si="30"/>
        <v>0</v>
      </c>
      <c r="AF143" s="777">
        <f>+'Plan de Accion 2018'!BI72</f>
        <v>0.5</v>
      </c>
      <c r="AG143" s="878">
        <f t="shared" si="31"/>
        <v>0.5</v>
      </c>
      <c r="AH143" s="390"/>
      <c r="AI143" s="363"/>
      <c r="AJ143" s="354"/>
      <c r="AK143" s="355"/>
      <c r="AL143" s="321"/>
      <c r="AM143" s="354"/>
      <c r="AN143" s="355"/>
      <c r="AO143" s="321"/>
      <c r="AP143" s="354"/>
      <c r="AQ143" s="355"/>
      <c r="AR143" s="321"/>
      <c r="AS143" s="354"/>
      <c r="AT143" s="355"/>
      <c r="AU143" s="328"/>
      <c r="AV143" s="390"/>
      <c r="AW143" s="367"/>
      <c r="AX143" s="354"/>
      <c r="AY143" s="355"/>
      <c r="AZ143" s="321"/>
      <c r="BA143" s="354"/>
      <c r="BB143" s="355"/>
      <c r="BC143" s="321"/>
      <c r="BD143" s="354"/>
      <c r="BE143" s="355"/>
      <c r="BF143" s="321"/>
      <c r="BG143" s="354"/>
      <c r="BH143" s="355"/>
      <c r="BI143" s="328"/>
      <c r="BJ143" s="390"/>
      <c r="BL143" s="354"/>
      <c r="BM143" s="355"/>
      <c r="BN143" s="321"/>
      <c r="BO143" s="354"/>
      <c r="BP143" s="355"/>
      <c r="BQ143" s="321"/>
      <c r="BR143" s="354"/>
      <c r="BS143" s="355"/>
      <c r="BT143" s="321"/>
      <c r="BU143" s="354"/>
      <c r="BV143" s="355"/>
      <c r="BW143" s="328"/>
      <c r="BX143" s="390"/>
      <c r="BZ143" s="354"/>
      <c r="CA143" s="355"/>
      <c r="CB143" s="321"/>
      <c r="CC143" s="354"/>
      <c r="CD143" s="355"/>
      <c r="CE143" s="321"/>
      <c r="CF143" s="354"/>
      <c r="CG143" s="355"/>
      <c r="CH143" s="321"/>
      <c r="CI143" s="354"/>
      <c r="CJ143" s="355"/>
      <c r="CK143" s="328"/>
      <c r="CL143" s="390"/>
    </row>
    <row r="144" spans="2:90" ht="85.5" x14ac:dyDescent="0.25">
      <c r="B144" s="1152"/>
      <c r="C144" s="1140"/>
      <c r="D144" s="332" t="str">
        <f>+'Plan de Accion 2018'!J74</f>
        <v>Pagar paquetes de reclamaciones de acuerdo con lo definido en la normativa vigente</v>
      </c>
      <c r="E144" s="1158"/>
      <c r="F144" s="356" t="str">
        <f>+'Plan de Accion 2018'!R74</f>
        <v># De ordenaciones de paquetes de reclamaciones con resultado de auditoría culminado / # Paquetes cuyo tramite de auditoría haya culminado</v>
      </c>
      <c r="G144" s="378"/>
      <c r="H144" s="776">
        <f>+'Plan de Accion 2018'!AA74</f>
        <v>0.25</v>
      </c>
      <c r="I144" s="777">
        <f>+'Plan de Accion 2018'!BL74</f>
        <v>1</v>
      </c>
      <c r="J144" s="777">
        <f t="shared" si="21"/>
        <v>1</v>
      </c>
      <c r="K144" s="777">
        <f>+'Plan de Accion 2018'!AE74</f>
        <v>0.25</v>
      </c>
      <c r="L144" s="777">
        <f t="shared" si="22"/>
        <v>0.25</v>
      </c>
      <c r="M144" s="1391">
        <f t="shared" si="23"/>
        <v>0.25</v>
      </c>
      <c r="N144" s="887"/>
      <c r="O144" s="776">
        <f>+'Plan de Accion 2018'!AK74</f>
        <v>0.25</v>
      </c>
      <c r="P144" s="777">
        <f>+'Plan de Accion 2018'!BN74</f>
        <v>1</v>
      </c>
      <c r="Q144" s="870">
        <f t="shared" si="32"/>
        <v>1</v>
      </c>
      <c r="R144" s="892">
        <f>+'Plan de Accion 2018'!AO74</f>
        <v>0.5</v>
      </c>
      <c r="S144" s="892">
        <f t="shared" si="29"/>
        <v>0.5</v>
      </c>
      <c r="T144" s="878">
        <f t="shared" si="33"/>
        <v>0.5</v>
      </c>
      <c r="U144" s="336"/>
      <c r="V144" s="776">
        <f>+'Plan de Accion 2018'!AU74</f>
        <v>0</v>
      </c>
      <c r="W144" s="777">
        <f>+'Plan de Accion 2018'!BP74</f>
        <v>0</v>
      </c>
      <c r="X144" s="870">
        <f t="shared" si="34"/>
        <v>0</v>
      </c>
      <c r="Y144" s="777">
        <f>+'Plan de Accion 2018'!AY74</f>
        <v>0.5</v>
      </c>
      <c r="Z144" s="892">
        <f t="shared" si="28"/>
        <v>0.5</v>
      </c>
      <c r="AA144" s="878">
        <f t="shared" si="35"/>
        <v>0.5</v>
      </c>
      <c r="AB144" s="336"/>
      <c r="AC144" s="330">
        <f>+'Plan de Accion 2018'!BE74</f>
        <v>0</v>
      </c>
      <c r="AD144" s="331">
        <f>+'Plan de Accion 2018'!BR74</f>
        <v>0</v>
      </c>
      <c r="AE144" s="870">
        <f t="shared" si="30"/>
        <v>0</v>
      </c>
      <c r="AF144" s="777">
        <f>+'Plan de Accion 2018'!BI74</f>
        <v>0.5</v>
      </c>
      <c r="AG144" s="878">
        <f t="shared" si="31"/>
        <v>0.5</v>
      </c>
      <c r="AH144" s="390"/>
      <c r="AI144" s="363"/>
      <c r="AJ144" s="354"/>
      <c r="AK144" s="355"/>
      <c r="AL144" s="321"/>
      <c r="AM144" s="354"/>
      <c r="AN144" s="355"/>
      <c r="AO144" s="321"/>
      <c r="AP144" s="354"/>
      <c r="AQ144" s="355"/>
      <c r="AR144" s="321"/>
      <c r="AS144" s="354"/>
      <c r="AT144" s="355"/>
      <c r="AU144" s="328"/>
      <c r="AV144" s="390"/>
      <c r="AW144" s="367"/>
      <c r="AX144" s="354"/>
      <c r="AY144" s="355"/>
      <c r="AZ144" s="321"/>
      <c r="BA144" s="354"/>
      <c r="BB144" s="355"/>
      <c r="BC144" s="321"/>
      <c r="BD144" s="354"/>
      <c r="BE144" s="355"/>
      <c r="BF144" s="321"/>
      <c r="BG144" s="354"/>
      <c r="BH144" s="355"/>
      <c r="BI144" s="328"/>
      <c r="BJ144" s="390"/>
      <c r="BL144" s="354"/>
      <c r="BM144" s="355"/>
      <c r="BN144" s="321"/>
      <c r="BO144" s="354"/>
      <c r="BP144" s="355"/>
      <c r="BQ144" s="321"/>
      <c r="BR144" s="354"/>
      <c r="BS144" s="355"/>
      <c r="BT144" s="321"/>
      <c r="BU144" s="354"/>
      <c r="BV144" s="355"/>
      <c r="BW144" s="328"/>
      <c r="BX144" s="390"/>
      <c r="BZ144" s="354"/>
      <c r="CA144" s="355"/>
      <c r="CB144" s="321"/>
      <c r="CC144" s="354"/>
      <c r="CD144" s="355"/>
      <c r="CE144" s="321"/>
      <c r="CF144" s="354"/>
      <c r="CG144" s="355"/>
      <c r="CH144" s="321"/>
      <c r="CI144" s="354"/>
      <c r="CJ144" s="355"/>
      <c r="CK144" s="328"/>
      <c r="CL144" s="390"/>
    </row>
    <row r="145" spans="2:90" ht="29.25" thickBot="1" x14ac:dyDescent="0.3">
      <c r="B145" s="1152"/>
      <c r="C145" s="1141"/>
      <c r="D145" s="337" t="str">
        <f>+'Plan de Accion 2018'!F75</f>
        <v>Boletines con resultados del proceso reclamaciones</v>
      </c>
      <c r="E145" s="1099"/>
      <c r="F145" s="392" t="str">
        <f>+'Plan de Accion 2018'!R75</f>
        <v># Boletines realizados</v>
      </c>
      <c r="G145" s="378"/>
      <c r="H145" s="781">
        <f>+'Plan de Accion 2018'!AA75</f>
        <v>1</v>
      </c>
      <c r="I145" s="928">
        <f>+'Plan de Accion 2018'!BL75</f>
        <v>1</v>
      </c>
      <c r="J145" s="928">
        <f t="shared" ref="J145:J208" si="36">IF(I145&gt;100%,100%,I145)</f>
        <v>1</v>
      </c>
      <c r="K145" s="928">
        <f>+'Plan de Accion 2018'!AE75</f>
        <v>0.25</v>
      </c>
      <c r="L145" s="928">
        <f t="shared" ref="L145:L208" si="37">IF(K145&gt;25%,25%,K145)</f>
        <v>0.25</v>
      </c>
      <c r="M145" s="930">
        <f t="shared" ref="M145:M208" si="38">+L145</f>
        <v>0.25</v>
      </c>
      <c r="N145" s="887"/>
      <c r="O145" s="781">
        <f>+'Plan de Accion 2018'!AK75</f>
        <v>1</v>
      </c>
      <c r="P145" s="890">
        <f>+'Plan de Accion 2018'!BN75</f>
        <v>1</v>
      </c>
      <c r="Q145" s="872">
        <f t="shared" si="32"/>
        <v>1</v>
      </c>
      <c r="R145" s="892">
        <f>+'Plan de Accion 2018'!AO75</f>
        <v>0.5</v>
      </c>
      <c r="S145" s="891">
        <f t="shared" si="29"/>
        <v>0.5</v>
      </c>
      <c r="T145" s="878">
        <f t="shared" si="33"/>
        <v>0.5</v>
      </c>
      <c r="U145" s="336"/>
      <c r="V145" s="781">
        <f>+'Plan de Accion 2018'!AU75</f>
        <v>0</v>
      </c>
      <c r="W145" s="890">
        <f>+'Plan de Accion 2018'!BP75</f>
        <v>0</v>
      </c>
      <c r="X145" s="870">
        <f t="shared" si="34"/>
        <v>0</v>
      </c>
      <c r="Y145" s="890">
        <f>+'Plan de Accion 2018'!AY75</f>
        <v>0.5</v>
      </c>
      <c r="Z145" s="892">
        <f t="shared" si="28"/>
        <v>0.5</v>
      </c>
      <c r="AA145" s="878">
        <f t="shared" si="35"/>
        <v>0.5</v>
      </c>
      <c r="AB145" s="336"/>
      <c r="AC145" s="781">
        <f>+'Plan de Accion 2018'!BE75</f>
        <v>0</v>
      </c>
      <c r="AD145" s="341">
        <f>+'Plan de Accion 2018'!BR75</f>
        <v>0</v>
      </c>
      <c r="AE145" s="870">
        <f t="shared" si="30"/>
        <v>0</v>
      </c>
      <c r="AF145" s="885">
        <f>+'Plan de Accion 2018'!BI75</f>
        <v>0.5</v>
      </c>
      <c r="AG145" s="878">
        <f t="shared" si="31"/>
        <v>0.5</v>
      </c>
      <c r="AH145" s="390"/>
      <c r="AI145" s="363"/>
      <c r="AJ145" s="354"/>
      <c r="AK145" s="355"/>
      <c r="AL145" s="321"/>
      <c r="AM145" s="354"/>
      <c r="AN145" s="355"/>
      <c r="AO145" s="321"/>
      <c r="AP145" s="354"/>
      <c r="AQ145" s="355"/>
      <c r="AR145" s="321"/>
      <c r="AS145" s="354"/>
      <c r="AT145" s="355"/>
      <c r="AU145" s="328"/>
      <c r="AV145" s="390"/>
      <c r="AW145" s="367"/>
      <c r="AX145" s="354"/>
      <c r="AY145" s="355"/>
      <c r="AZ145" s="321"/>
      <c r="BA145" s="354"/>
      <c r="BB145" s="355"/>
      <c r="BC145" s="321"/>
      <c r="BD145" s="354"/>
      <c r="BE145" s="355"/>
      <c r="BF145" s="321"/>
      <c r="BG145" s="354"/>
      <c r="BH145" s="355"/>
      <c r="BI145" s="328"/>
      <c r="BJ145" s="390"/>
      <c r="BL145" s="354"/>
      <c r="BM145" s="355"/>
      <c r="BN145" s="321"/>
      <c r="BO145" s="354"/>
      <c r="BP145" s="355"/>
      <c r="BQ145" s="321"/>
      <c r="BR145" s="354"/>
      <c r="BS145" s="355"/>
      <c r="BT145" s="321"/>
      <c r="BU145" s="354"/>
      <c r="BV145" s="355"/>
      <c r="BW145" s="328"/>
      <c r="BX145" s="390"/>
      <c r="BZ145" s="354"/>
      <c r="CA145" s="355"/>
      <c r="CB145" s="321"/>
      <c r="CC145" s="354"/>
      <c r="CD145" s="355"/>
      <c r="CE145" s="321"/>
      <c r="CF145" s="354"/>
      <c r="CG145" s="355"/>
      <c r="CH145" s="321"/>
      <c r="CI145" s="354"/>
      <c r="CJ145" s="355"/>
      <c r="CK145" s="328"/>
      <c r="CL145" s="390"/>
    </row>
    <row r="146" spans="2:90" ht="33" customHeight="1" thickBot="1" x14ac:dyDescent="0.3">
      <c r="B146" s="1157"/>
      <c r="C146" s="1142" t="s">
        <v>816</v>
      </c>
      <c r="D146" s="1143"/>
      <c r="E146" s="1143"/>
      <c r="F146" s="1144"/>
      <c r="G146" s="378"/>
      <c r="H146" s="358" t="s">
        <v>792</v>
      </c>
      <c r="I146" s="344">
        <f>SUM(I124:I145)/COUNT(I124:I145)</f>
        <v>0.87500553709856033</v>
      </c>
      <c r="J146" s="344">
        <f t="shared" si="36"/>
        <v>0.87500553709856033</v>
      </c>
      <c r="K146" s="344">
        <f>SUM(K124:K145)/COUNT(K124:K145)</f>
        <v>0.1981395563038314</v>
      </c>
      <c r="L146" s="344">
        <f t="shared" ref="L146:M146" si="39">SUM(L124:L145)/COUNT(L124:L145)</f>
        <v>0.1981395563038314</v>
      </c>
      <c r="M146" s="346">
        <f t="shared" si="39"/>
        <v>0.21795351193421456</v>
      </c>
      <c r="N146" s="1406"/>
      <c r="O146" s="358" t="s">
        <v>792</v>
      </c>
      <c r="P146" s="876">
        <f>SUM(P124:P145)/COUNT(P124:P145)</f>
        <v>1.0046510543848137</v>
      </c>
      <c r="Q146" s="876">
        <f>SUM(Q124:Q145)/COUNT(Q124:Q145)</f>
        <v>0.9713177210514804</v>
      </c>
      <c r="R146" s="880">
        <f>SUM(R124:R145)/COUNT(R124:R145)</f>
        <v>0.42671112088838775</v>
      </c>
      <c r="S146" s="918">
        <f>SUM(S124:S145)/COUNT(S124:S145)</f>
        <v>0.42671112088838775</v>
      </c>
      <c r="T146" s="888">
        <f>SUM(T124:T145)/COUNT(T124:T145)</f>
        <v>0.46938223297722653</v>
      </c>
      <c r="U146" s="369"/>
      <c r="V146" s="358" t="s">
        <v>792</v>
      </c>
      <c r="W146" s="344">
        <f>SUM(W124:W145)/COUNT(W124:W145)</f>
        <v>0</v>
      </c>
      <c r="X146" s="344">
        <f>SUM(X124:X145)/COUNT(X124:X145)</f>
        <v>0</v>
      </c>
      <c r="Y146" s="876">
        <f>SUM(Y124:Y145)/COUNT(Y124:Y145)</f>
        <v>0.42671112088838775</v>
      </c>
      <c r="Z146" s="344">
        <f>SUM(Z124:Z145)/COUNT(Z124:Z145)</f>
        <v>0.42671112088838775</v>
      </c>
      <c r="AA146" s="346">
        <f>SUM(AA124:AA145)/COUNT(AA124:AA145)</f>
        <v>0.46938223297722653</v>
      </c>
      <c r="AB146" s="369"/>
      <c r="AC146" s="358" t="s">
        <v>792</v>
      </c>
      <c r="AD146" s="344">
        <f>SUM(AD124:AD145)/COUNT(AD124:AD145)</f>
        <v>0</v>
      </c>
      <c r="AE146" s="344">
        <f>SUM(AE124:AE145)/COUNT(AE124:AE145)</f>
        <v>0</v>
      </c>
      <c r="AF146" s="876">
        <f>SUM(AF124:AF145)/COUNT(AF124:AF145)</f>
        <v>0.42671112088838775</v>
      </c>
      <c r="AG146" s="346">
        <f>SUM(AG124:AG145)/COUNT(AG124:AG145)</f>
        <v>0.42671112088838775</v>
      </c>
      <c r="AH146" s="390"/>
      <c r="AI146" s="363"/>
      <c r="AJ146" s="354"/>
      <c r="AK146" s="355"/>
      <c r="AL146" s="321"/>
      <c r="AM146" s="354"/>
      <c r="AN146" s="355"/>
      <c r="AO146" s="321"/>
      <c r="AP146" s="354"/>
      <c r="AQ146" s="355"/>
      <c r="AR146" s="321"/>
      <c r="AS146" s="354"/>
      <c r="AT146" s="355"/>
      <c r="AU146" s="328"/>
      <c r="AV146" s="390"/>
      <c r="AW146" s="367"/>
      <c r="AX146" s="354"/>
      <c r="AY146" s="355"/>
      <c r="AZ146" s="321"/>
      <c r="BA146" s="354"/>
      <c r="BB146" s="355"/>
      <c r="BC146" s="321"/>
      <c r="BD146" s="354"/>
      <c r="BE146" s="355"/>
      <c r="BF146" s="321"/>
      <c r="BG146" s="354"/>
      <c r="BH146" s="355"/>
      <c r="BI146" s="328"/>
      <c r="BJ146" s="390"/>
      <c r="BL146" s="354"/>
      <c r="BM146" s="355"/>
      <c r="BN146" s="321"/>
      <c r="BO146" s="354"/>
      <c r="BP146" s="355"/>
      <c r="BQ146" s="321"/>
      <c r="BR146" s="354"/>
      <c r="BS146" s="355"/>
      <c r="BT146" s="321"/>
      <c r="BU146" s="354"/>
      <c r="BV146" s="355"/>
      <c r="BW146" s="328"/>
      <c r="BX146" s="390"/>
      <c r="BZ146" s="354"/>
      <c r="CA146" s="355"/>
      <c r="CB146" s="321"/>
      <c r="CC146" s="354"/>
      <c r="CD146" s="355"/>
      <c r="CE146" s="321"/>
      <c r="CF146" s="354"/>
      <c r="CG146" s="355"/>
      <c r="CH146" s="321"/>
      <c r="CI146" s="354"/>
      <c r="CJ146" s="355"/>
      <c r="CK146" s="328"/>
      <c r="CL146" s="390"/>
    </row>
    <row r="147" spans="2:90" ht="28.5" x14ac:dyDescent="0.25">
      <c r="B147" s="1152"/>
      <c r="C147" s="1171" t="s">
        <v>145</v>
      </c>
      <c r="D147" s="360" t="str">
        <f>+'Plan de Accion 2018'!F36</f>
        <v>Publicación  Ejecución Presupuestal</v>
      </c>
      <c r="E147" s="1100" t="str">
        <f>+'Plan de Accion 2018'!B36</f>
        <v>Dirección de Gestión de Recursos Financieros de Salud</v>
      </c>
      <c r="F147" s="361" t="str">
        <f>+'Plan de Accion 2018'!R36</f>
        <v># Ejecuciones Presupuestales Publicadas</v>
      </c>
      <c r="G147" s="335"/>
      <c r="H147" s="782">
        <f>+'Plan de Accion 2018'!AA36</f>
        <v>3</v>
      </c>
      <c r="I147" s="929">
        <f>+'Plan de Accion 2018'!BL36</f>
        <v>1</v>
      </c>
      <c r="J147" s="929">
        <f t="shared" si="36"/>
        <v>1</v>
      </c>
      <c r="K147" s="929">
        <f>+'Plan de Accion 2018'!AE36</f>
        <v>0.25</v>
      </c>
      <c r="L147" s="929">
        <f t="shared" si="37"/>
        <v>0.25</v>
      </c>
      <c r="M147" s="931">
        <f t="shared" si="38"/>
        <v>0.25</v>
      </c>
      <c r="N147" s="887"/>
      <c r="O147" s="782">
        <f>+'Plan de Accion 2018'!AK36</f>
        <v>3</v>
      </c>
      <c r="P147" s="892">
        <f>+'Plan de Accion 2018'!BN36</f>
        <v>1</v>
      </c>
      <c r="Q147" s="870">
        <f t="shared" si="32"/>
        <v>1</v>
      </c>
      <c r="R147" s="892">
        <f>+'Plan de Accion 2018'!AO36</f>
        <v>0.5</v>
      </c>
      <c r="S147" s="892">
        <f t="shared" si="29"/>
        <v>0.5</v>
      </c>
      <c r="T147" s="878">
        <f t="shared" si="33"/>
        <v>0.5</v>
      </c>
      <c r="U147" s="336"/>
      <c r="V147" s="782">
        <f>+'Plan de Accion 2018'!AU36</f>
        <v>0</v>
      </c>
      <c r="W147" s="892">
        <f>+'Plan de Accion 2018'!BP36</f>
        <v>0</v>
      </c>
      <c r="X147" s="870">
        <f t="shared" si="34"/>
        <v>0</v>
      </c>
      <c r="Y147" s="892">
        <f>+'Plan de Accion 2018'!AY36</f>
        <v>0.5</v>
      </c>
      <c r="Z147" s="892">
        <f t="shared" ref="Z147:Z154" si="40">IF(Y147&gt;75%,75%,Y147)</f>
        <v>0.5</v>
      </c>
      <c r="AA147" s="878">
        <f t="shared" si="35"/>
        <v>0.5</v>
      </c>
      <c r="AB147" s="336"/>
      <c r="AC147" s="782">
        <f>+'Plan de Accion 2018'!BE36</f>
        <v>0</v>
      </c>
      <c r="AD147" s="323">
        <f>+'Plan de Accion 2018'!BR36</f>
        <v>0</v>
      </c>
      <c r="AE147" s="870">
        <f t="shared" si="30"/>
        <v>0</v>
      </c>
      <c r="AF147" s="886">
        <f>+'Plan de Accion 2018'!BI36</f>
        <v>0.5</v>
      </c>
      <c r="AG147" s="878">
        <f t="shared" si="31"/>
        <v>0.5</v>
      </c>
      <c r="AH147" s="393"/>
      <c r="AI147" s="373"/>
      <c r="AJ147" s="394"/>
      <c r="AK147" s="395"/>
      <c r="AL147" s="321"/>
      <c r="AM147" s="354"/>
      <c r="AN147" s="355"/>
      <c r="AO147" s="321"/>
      <c r="AP147" s="354"/>
      <c r="AQ147" s="355"/>
      <c r="AR147" s="321"/>
      <c r="AS147" s="354"/>
      <c r="AT147" s="355"/>
      <c r="AU147" s="328"/>
      <c r="AV147" s="390"/>
      <c r="AW147" s="367"/>
      <c r="AX147" s="354"/>
      <c r="AY147" s="355"/>
      <c r="AZ147" s="321"/>
      <c r="BA147" s="354"/>
      <c r="BB147" s="355"/>
      <c r="BC147" s="321"/>
      <c r="BD147" s="354"/>
      <c r="BE147" s="355"/>
      <c r="BF147" s="321"/>
      <c r="BG147" s="354"/>
      <c r="BH147" s="355"/>
      <c r="BI147" s="328"/>
      <c r="BJ147" s="390"/>
      <c r="BL147" s="354"/>
      <c r="BM147" s="355"/>
      <c r="BN147" s="321"/>
      <c r="BO147" s="354"/>
      <c r="BP147" s="355"/>
      <c r="BQ147" s="321"/>
      <c r="BR147" s="354"/>
      <c r="BS147" s="355"/>
      <c r="BT147" s="321"/>
      <c r="BU147" s="354"/>
      <c r="BV147" s="355"/>
      <c r="BW147" s="328"/>
      <c r="BX147" s="390"/>
      <c r="BZ147" s="354"/>
      <c r="CA147" s="355"/>
      <c r="CB147" s="321"/>
      <c r="CC147" s="354"/>
      <c r="CD147" s="355"/>
      <c r="CE147" s="321"/>
      <c r="CF147" s="354"/>
      <c r="CG147" s="355"/>
      <c r="CH147" s="321"/>
      <c r="CI147" s="354"/>
      <c r="CJ147" s="355"/>
      <c r="CK147" s="328"/>
      <c r="CL147" s="390"/>
    </row>
    <row r="148" spans="2:90" ht="42.75" x14ac:dyDescent="0.25">
      <c r="B148" s="1152"/>
      <c r="C148" s="1172"/>
      <c r="D148" s="1158" t="str">
        <f>+'Plan de Accion 2018'!F37</f>
        <v>Gestión de Recaudo</v>
      </c>
      <c r="E148" s="1158"/>
      <c r="F148" s="356" t="str">
        <f>+'Plan de Accion 2018'!R37</f>
        <v># Recaudos Identificados / # Total de Recaudo Recibido en el Trimestre</v>
      </c>
      <c r="G148" s="335"/>
      <c r="H148" s="776">
        <f>+'Plan de Accion 2018'!AA37</f>
        <v>0.24968273121612766</v>
      </c>
      <c r="I148" s="777">
        <f>+'Plan de Accion 2018'!BL37</f>
        <v>0.99873092486451065</v>
      </c>
      <c r="J148" s="777">
        <f t="shared" si="36"/>
        <v>0.99873092486451065</v>
      </c>
      <c r="K148" s="777">
        <f>+'Plan de Accion 2018'!AE37</f>
        <v>0.24968273121612766</v>
      </c>
      <c r="L148" s="777">
        <f t="shared" si="37"/>
        <v>0.24968273121612766</v>
      </c>
      <c r="M148" s="1391">
        <f t="shared" si="38"/>
        <v>0.24968273121612766</v>
      </c>
      <c r="N148" s="887"/>
      <c r="O148" s="776">
        <f>+'Plan de Accion 2018'!AK37</f>
        <v>0.24979999999999999</v>
      </c>
      <c r="P148" s="777">
        <f>+'Plan de Accion 2018'!BN37</f>
        <v>0.99919999999999998</v>
      </c>
      <c r="Q148" s="870">
        <f t="shared" si="32"/>
        <v>0.99919999999999998</v>
      </c>
      <c r="R148" s="892">
        <f>+'Plan de Accion 2018'!AO37</f>
        <v>0.49948273121612763</v>
      </c>
      <c r="S148" s="892">
        <f t="shared" si="29"/>
        <v>0.49948273121612763</v>
      </c>
      <c r="T148" s="878">
        <f t="shared" si="33"/>
        <v>0.49948273121612763</v>
      </c>
      <c r="U148" s="336"/>
      <c r="V148" s="776">
        <f>+'Plan de Accion 2018'!AU37</f>
        <v>0</v>
      </c>
      <c r="W148" s="777">
        <f>+'Plan de Accion 2018'!BP37</f>
        <v>0</v>
      </c>
      <c r="X148" s="870">
        <f t="shared" si="34"/>
        <v>0</v>
      </c>
      <c r="Y148" s="777">
        <f>+'Plan de Accion 2018'!AY37</f>
        <v>0.49948273121612763</v>
      </c>
      <c r="Z148" s="892">
        <f t="shared" si="40"/>
        <v>0.49948273121612763</v>
      </c>
      <c r="AA148" s="878">
        <f t="shared" si="35"/>
        <v>0.49948273121612763</v>
      </c>
      <c r="AB148" s="336"/>
      <c r="AC148" s="330">
        <f>+'Plan de Accion 2018'!BE37</f>
        <v>0</v>
      </c>
      <c r="AD148" s="331">
        <f>+'Plan de Accion 2018'!BR37</f>
        <v>0</v>
      </c>
      <c r="AE148" s="870">
        <f t="shared" si="30"/>
        <v>0</v>
      </c>
      <c r="AF148" s="777">
        <f>+'Plan de Accion 2018'!BI37</f>
        <v>0.49948273121612763</v>
      </c>
      <c r="AG148" s="878">
        <f t="shared" si="31"/>
        <v>0.49948273121612763</v>
      </c>
      <c r="AH148" s="393"/>
      <c r="AI148" s="373"/>
      <c r="AJ148" s="394"/>
      <c r="AK148" s="395"/>
      <c r="AL148" s="321"/>
      <c r="AM148" s="354"/>
      <c r="AN148" s="355"/>
      <c r="AO148" s="321"/>
      <c r="AP148" s="354"/>
      <c r="AQ148" s="355"/>
      <c r="AR148" s="321"/>
      <c r="AS148" s="354"/>
      <c r="AT148" s="355"/>
      <c r="AU148" s="328"/>
      <c r="AV148" s="390"/>
      <c r="AW148" s="367"/>
      <c r="AX148" s="354"/>
      <c r="AY148" s="355"/>
      <c r="AZ148" s="321"/>
      <c r="BA148" s="354"/>
      <c r="BB148" s="355"/>
      <c r="BC148" s="321"/>
      <c r="BD148" s="354"/>
      <c r="BE148" s="355"/>
      <c r="BF148" s="321"/>
      <c r="BG148" s="354"/>
      <c r="BH148" s="355"/>
      <c r="BI148" s="328"/>
      <c r="BJ148" s="390"/>
      <c r="BL148" s="354"/>
      <c r="BM148" s="355"/>
      <c r="BN148" s="321"/>
      <c r="BO148" s="354"/>
      <c r="BP148" s="355"/>
      <c r="BQ148" s="321"/>
      <c r="BR148" s="354"/>
      <c r="BS148" s="355"/>
      <c r="BT148" s="321"/>
      <c r="BU148" s="354"/>
      <c r="BV148" s="355"/>
      <c r="BW148" s="328"/>
      <c r="BX148" s="390"/>
      <c r="BZ148" s="354"/>
      <c r="CA148" s="355"/>
      <c r="CB148" s="321"/>
      <c r="CC148" s="354"/>
      <c r="CD148" s="355"/>
      <c r="CE148" s="321"/>
      <c r="CF148" s="354"/>
      <c r="CG148" s="355"/>
      <c r="CH148" s="321"/>
      <c r="CI148" s="354"/>
      <c r="CJ148" s="355"/>
      <c r="CK148" s="328"/>
      <c r="CL148" s="390"/>
    </row>
    <row r="149" spans="2:90" ht="19.5" x14ac:dyDescent="0.25">
      <c r="B149" s="1152"/>
      <c r="C149" s="1172"/>
      <c r="D149" s="1158"/>
      <c r="E149" s="1158"/>
      <c r="F149" s="356" t="str">
        <f>+'Plan de Accion 2018'!R38</f>
        <v># Informes reportados</v>
      </c>
      <c r="G149" s="335"/>
      <c r="H149" s="780">
        <f>+'Plan de Accion 2018'!AA38</f>
        <v>3</v>
      </c>
      <c r="I149" s="777">
        <f>+'Plan de Accion 2018'!BL38</f>
        <v>1</v>
      </c>
      <c r="J149" s="777">
        <f t="shared" si="36"/>
        <v>1</v>
      </c>
      <c r="K149" s="777">
        <f>+'Plan de Accion 2018'!AE38</f>
        <v>0.25</v>
      </c>
      <c r="L149" s="777">
        <f t="shared" si="37"/>
        <v>0.25</v>
      </c>
      <c r="M149" s="1391">
        <f t="shared" si="38"/>
        <v>0.25</v>
      </c>
      <c r="N149" s="887"/>
      <c r="O149" s="780">
        <f>+'Plan de Accion 2018'!AK38</f>
        <v>3</v>
      </c>
      <c r="P149" s="777">
        <f>+'Plan de Accion 2018'!BN38</f>
        <v>1</v>
      </c>
      <c r="Q149" s="870">
        <f t="shared" si="32"/>
        <v>1</v>
      </c>
      <c r="R149" s="892">
        <f>+'Plan de Accion 2018'!AO38</f>
        <v>0.5</v>
      </c>
      <c r="S149" s="892">
        <f t="shared" si="29"/>
        <v>0.5</v>
      </c>
      <c r="T149" s="878">
        <f t="shared" si="33"/>
        <v>0.5</v>
      </c>
      <c r="U149" s="336"/>
      <c r="V149" s="780">
        <f>+'Plan de Accion 2018'!AU38</f>
        <v>0</v>
      </c>
      <c r="W149" s="777">
        <f>+'Plan de Accion 2018'!BP38</f>
        <v>0</v>
      </c>
      <c r="X149" s="870">
        <f t="shared" si="34"/>
        <v>0</v>
      </c>
      <c r="Y149" s="777">
        <f>+'Plan de Accion 2018'!AY38</f>
        <v>0.5</v>
      </c>
      <c r="Z149" s="892">
        <f t="shared" si="40"/>
        <v>0.5</v>
      </c>
      <c r="AA149" s="878">
        <f t="shared" si="35"/>
        <v>0.5</v>
      </c>
      <c r="AB149" s="336"/>
      <c r="AC149" s="780">
        <f>+'Plan de Accion 2018'!BE38</f>
        <v>0</v>
      </c>
      <c r="AD149" s="331">
        <f>+'Plan de Accion 2018'!BR38</f>
        <v>0</v>
      </c>
      <c r="AE149" s="870">
        <f t="shared" si="30"/>
        <v>0</v>
      </c>
      <c r="AF149" s="777">
        <f>+'Plan de Accion 2018'!BI38</f>
        <v>0.5</v>
      </c>
      <c r="AG149" s="878">
        <f t="shared" si="31"/>
        <v>0.5</v>
      </c>
      <c r="AH149" s="393"/>
      <c r="AI149" s="373"/>
      <c r="AJ149" s="394"/>
      <c r="AK149" s="395"/>
      <c r="AL149" s="321"/>
      <c r="AM149" s="354"/>
      <c r="AN149" s="355"/>
      <c r="AO149" s="321"/>
      <c r="AP149" s="354"/>
      <c r="AQ149" s="355"/>
      <c r="AR149" s="321"/>
      <c r="AS149" s="354"/>
      <c r="AT149" s="355"/>
      <c r="AU149" s="328"/>
      <c r="AV149" s="390"/>
      <c r="AW149" s="367"/>
      <c r="AX149" s="354"/>
      <c r="AY149" s="355"/>
      <c r="AZ149" s="321"/>
      <c r="BA149" s="354"/>
      <c r="BB149" s="355"/>
      <c r="BC149" s="321"/>
      <c r="BD149" s="354"/>
      <c r="BE149" s="355"/>
      <c r="BF149" s="321"/>
      <c r="BG149" s="354"/>
      <c r="BH149" s="355"/>
      <c r="BI149" s="328"/>
      <c r="BJ149" s="390"/>
      <c r="BL149" s="354"/>
      <c r="BM149" s="355"/>
      <c r="BN149" s="321"/>
      <c r="BO149" s="354"/>
      <c r="BP149" s="355"/>
      <c r="BQ149" s="321"/>
      <c r="BR149" s="354"/>
      <c r="BS149" s="355"/>
      <c r="BT149" s="321"/>
      <c r="BU149" s="354"/>
      <c r="BV149" s="355"/>
      <c r="BW149" s="328"/>
      <c r="BX149" s="390"/>
      <c r="BZ149" s="354"/>
      <c r="CA149" s="355"/>
      <c r="CB149" s="321"/>
      <c r="CC149" s="354"/>
      <c r="CD149" s="355"/>
      <c r="CE149" s="321"/>
      <c r="CF149" s="354"/>
      <c r="CG149" s="355"/>
      <c r="CH149" s="321"/>
      <c r="CI149" s="354"/>
      <c r="CJ149" s="355"/>
      <c r="CK149" s="328"/>
      <c r="CL149" s="390"/>
    </row>
    <row r="150" spans="2:90" ht="54.95" customHeight="1" x14ac:dyDescent="0.25">
      <c r="B150" s="1152"/>
      <c r="C150" s="1172"/>
      <c r="D150" s="1158"/>
      <c r="E150" s="1158"/>
      <c r="F150" s="356" t="str">
        <f>+'Plan de Accion 2018'!R39</f>
        <v># Partidas Identificadas que no fueron identificadas en el mes anterior / # Partidas No identificadas en el mes anterior</v>
      </c>
      <c r="G150" s="335"/>
      <c r="H150" s="776">
        <f>+'Plan de Accion 2018'!AA39</f>
        <v>0.20501763837675097</v>
      </c>
      <c r="I150" s="777">
        <f>+'Plan de Accion 2018'!BL39</f>
        <v>0.82007055350700386</v>
      </c>
      <c r="J150" s="777">
        <f t="shared" si="36"/>
        <v>0.82007055350700386</v>
      </c>
      <c r="K150" s="777">
        <f>+'Plan de Accion 2018'!AE39</f>
        <v>0.20501763837675097</v>
      </c>
      <c r="L150" s="777">
        <f t="shared" si="37"/>
        <v>0.20501763837675097</v>
      </c>
      <c r="M150" s="1391">
        <f t="shared" si="38"/>
        <v>0.20501763837675097</v>
      </c>
      <c r="N150" s="887"/>
      <c r="O150" s="776">
        <f>+'Plan de Accion 2018'!AK39</f>
        <v>0.19</v>
      </c>
      <c r="P150" s="777">
        <f>+'Plan de Accion 2018'!BN39</f>
        <v>0.76</v>
      </c>
      <c r="Q150" s="870">
        <f t="shared" si="32"/>
        <v>0.76</v>
      </c>
      <c r="R150" s="892">
        <f>+'Plan de Accion 2018'!AO39</f>
        <v>0.39501763837675097</v>
      </c>
      <c r="S150" s="892">
        <f t="shared" si="29"/>
        <v>0.39501763837675097</v>
      </c>
      <c r="T150" s="878">
        <f t="shared" si="33"/>
        <v>0.39501763837675097</v>
      </c>
      <c r="U150" s="336"/>
      <c r="V150" s="776">
        <f>+'Plan de Accion 2018'!AU39</f>
        <v>0</v>
      </c>
      <c r="W150" s="777">
        <f>+'Plan de Accion 2018'!BP39</f>
        <v>0</v>
      </c>
      <c r="X150" s="870">
        <f t="shared" si="34"/>
        <v>0</v>
      </c>
      <c r="Y150" s="777">
        <f>+'Plan de Accion 2018'!AY39</f>
        <v>0.39501763837675097</v>
      </c>
      <c r="Z150" s="892">
        <f t="shared" si="40"/>
        <v>0.39501763837675097</v>
      </c>
      <c r="AA150" s="878">
        <f t="shared" si="35"/>
        <v>0.39501763837675097</v>
      </c>
      <c r="AB150" s="336"/>
      <c r="AC150" s="330">
        <f>+'Plan de Accion 2018'!BE39</f>
        <v>0</v>
      </c>
      <c r="AD150" s="331">
        <f>+'Plan de Accion 2018'!BR39</f>
        <v>0</v>
      </c>
      <c r="AE150" s="870">
        <f t="shared" si="30"/>
        <v>0</v>
      </c>
      <c r="AF150" s="777">
        <f>+'Plan de Accion 2018'!BI39</f>
        <v>0.39501763837675097</v>
      </c>
      <c r="AG150" s="878">
        <f t="shared" si="31"/>
        <v>0.39501763837675097</v>
      </c>
      <c r="AH150" s="393"/>
      <c r="AI150" s="373"/>
      <c r="AJ150" s="394"/>
      <c r="AK150" s="395"/>
      <c r="AL150" s="321"/>
      <c r="AM150" s="354"/>
      <c r="AN150" s="355"/>
      <c r="AO150" s="321"/>
      <c r="AP150" s="354"/>
      <c r="AQ150" s="355"/>
      <c r="AR150" s="321"/>
      <c r="AS150" s="354"/>
      <c r="AT150" s="355"/>
      <c r="AU150" s="328"/>
      <c r="AV150" s="390"/>
      <c r="AW150" s="367"/>
      <c r="AX150" s="354"/>
      <c r="AY150" s="355"/>
      <c r="AZ150" s="321"/>
      <c r="BA150" s="354"/>
      <c r="BB150" s="355"/>
      <c r="BC150" s="321"/>
      <c r="BD150" s="354"/>
      <c r="BE150" s="355"/>
      <c r="BF150" s="321"/>
      <c r="BG150" s="354"/>
      <c r="BH150" s="355"/>
      <c r="BI150" s="328"/>
      <c r="BJ150" s="390"/>
      <c r="BL150" s="354"/>
      <c r="BM150" s="355"/>
      <c r="BN150" s="321"/>
      <c r="BO150" s="354"/>
      <c r="BP150" s="355"/>
      <c r="BQ150" s="321"/>
      <c r="BR150" s="354"/>
      <c r="BS150" s="355"/>
      <c r="BT150" s="321"/>
      <c r="BU150" s="354"/>
      <c r="BV150" s="355"/>
      <c r="BW150" s="328"/>
      <c r="BX150" s="390"/>
      <c r="BZ150" s="354"/>
      <c r="CA150" s="355"/>
      <c r="CB150" s="321"/>
      <c r="CC150" s="354"/>
      <c r="CD150" s="355"/>
      <c r="CE150" s="321"/>
      <c r="CF150" s="354"/>
      <c r="CG150" s="355"/>
      <c r="CH150" s="321"/>
      <c r="CI150" s="354"/>
      <c r="CJ150" s="355"/>
      <c r="CK150" s="328"/>
      <c r="CL150" s="390"/>
    </row>
    <row r="151" spans="2:90" ht="28.5" x14ac:dyDescent="0.25">
      <c r="B151" s="1152"/>
      <c r="C151" s="1172"/>
      <c r="D151" s="332" t="str">
        <f>+'Plan de Accion 2018'!F40</f>
        <v>Ordenes de Giros</v>
      </c>
      <c r="E151" s="1158"/>
      <c r="F151" s="356" t="str">
        <f>+'Plan de Accion 2018'!R40</f>
        <v># Ordenes Giradas / # Giradas Tramitadas</v>
      </c>
      <c r="G151" s="335"/>
      <c r="H151" s="776">
        <f>+'Plan de Accion 2018'!AA40</f>
        <v>0.25</v>
      </c>
      <c r="I151" s="777">
        <f>+'Plan de Accion 2018'!BL40</f>
        <v>1</v>
      </c>
      <c r="J151" s="777">
        <f t="shared" si="36"/>
        <v>1</v>
      </c>
      <c r="K151" s="777">
        <f>+'Plan de Accion 2018'!AE40</f>
        <v>0.25</v>
      </c>
      <c r="L151" s="777">
        <f t="shared" si="37"/>
        <v>0.25</v>
      </c>
      <c r="M151" s="1391">
        <f t="shared" si="38"/>
        <v>0.25</v>
      </c>
      <c r="N151" s="887"/>
      <c r="O151" s="776">
        <f>+'Plan de Accion 2018'!AK40</f>
        <v>0.25</v>
      </c>
      <c r="P151" s="777">
        <f>+'Plan de Accion 2018'!BN40</f>
        <v>1</v>
      </c>
      <c r="Q151" s="870">
        <f t="shared" si="32"/>
        <v>1</v>
      </c>
      <c r="R151" s="892">
        <f>+'Plan de Accion 2018'!AO40</f>
        <v>0.5</v>
      </c>
      <c r="S151" s="892">
        <f t="shared" si="29"/>
        <v>0.5</v>
      </c>
      <c r="T151" s="878">
        <f t="shared" si="33"/>
        <v>0.5</v>
      </c>
      <c r="U151" s="336"/>
      <c r="V151" s="776">
        <f>+'Plan de Accion 2018'!AU40</f>
        <v>0</v>
      </c>
      <c r="W151" s="777">
        <f>+'Plan de Accion 2018'!BP40</f>
        <v>0</v>
      </c>
      <c r="X151" s="870">
        <f t="shared" si="34"/>
        <v>0</v>
      </c>
      <c r="Y151" s="777">
        <f>+'Plan de Accion 2018'!AY40</f>
        <v>0.5</v>
      </c>
      <c r="Z151" s="892">
        <f t="shared" si="40"/>
        <v>0.5</v>
      </c>
      <c r="AA151" s="878">
        <f t="shared" si="35"/>
        <v>0.5</v>
      </c>
      <c r="AB151" s="336"/>
      <c r="AC151" s="330">
        <f>+'Plan de Accion 2018'!BE40</f>
        <v>0</v>
      </c>
      <c r="AD151" s="331">
        <f>+'Plan de Accion 2018'!BR40</f>
        <v>0</v>
      </c>
      <c r="AE151" s="870">
        <f t="shared" si="30"/>
        <v>0</v>
      </c>
      <c r="AF151" s="777">
        <f>+'Plan de Accion 2018'!BI40</f>
        <v>0.5</v>
      </c>
      <c r="AG151" s="878">
        <f t="shared" si="31"/>
        <v>0.5</v>
      </c>
      <c r="AH151" s="393"/>
      <c r="AI151" s="373"/>
      <c r="AJ151" s="394"/>
      <c r="AK151" s="395"/>
      <c r="AL151" s="321"/>
      <c r="AM151" s="354"/>
      <c r="AN151" s="355"/>
      <c r="AO151" s="321"/>
      <c r="AP151" s="354"/>
      <c r="AQ151" s="355"/>
      <c r="AR151" s="321"/>
      <c r="AS151" s="354"/>
      <c r="AT151" s="355"/>
      <c r="AU151" s="328"/>
      <c r="AV151" s="390"/>
      <c r="AW151" s="367"/>
      <c r="AX151" s="354"/>
      <c r="AY151" s="355"/>
      <c r="AZ151" s="321"/>
      <c r="BA151" s="354"/>
      <c r="BB151" s="355"/>
      <c r="BC151" s="321"/>
      <c r="BD151" s="354"/>
      <c r="BE151" s="355"/>
      <c r="BF151" s="321"/>
      <c r="BG151" s="354"/>
      <c r="BH151" s="355"/>
      <c r="BI151" s="328"/>
      <c r="BJ151" s="390"/>
      <c r="BL151" s="354"/>
      <c r="BM151" s="355"/>
      <c r="BN151" s="321"/>
      <c r="BO151" s="354"/>
      <c r="BP151" s="355"/>
      <c r="BQ151" s="321"/>
      <c r="BR151" s="354"/>
      <c r="BS151" s="355"/>
      <c r="BT151" s="321"/>
      <c r="BU151" s="354"/>
      <c r="BV151" s="355"/>
      <c r="BW151" s="328"/>
      <c r="BX151" s="390"/>
      <c r="BZ151" s="354"/>
      <c r="CA151" s="355"/>
      <c r="CB151" s="321"/>
      <c r="CC151" s="354"/>
      <c r="CD151" s="355"/>
      <c r="CE151" s="321"/>
      <c r="CF151" s="354"/>
      <c r="CG151" s="355"/>
      <c r="CH151" s="321"/>
      <c r="CI151" s="354"/>
      <c r="CJ151" s="355"/>
      <c r="CK151" s="328"/>
      <c r="CL151" s="390"/>
    </row>
    <row r="152" spans="2:90" ht="54.95" customHeight="1" x14ac:dyDescent="0.25">
      <c r="B152" s="1152"/>
      <c r="C152" s="1172"/>
      <c r="D152" s="332" t="str">
        <f>+'Plan de Accion 2018'!F41</f>
        <v>Portafolio</v>
      </c>
      <c r="E152" s="1158"/>
      <c r="F152" s="356" t="str">
        <f>+'Plan de Accion 2018'!R41</f>
        <v># Boletines Realizados / # Boletines Proyectados del Periodo</v>
      </c>
      <c r="G152" s="335"/>
      <c r="H152" s="776">
        <f>+'Plan de Accion 2018'!AA41</f>
        <v>0.25</v>
      </c>
      <c r="I152" s="777">
        <f>+'Plan de Accion 2018'!BL41</f>
        <v>1</v>
      </c>
      <c r="J152" s="777">
        <f t="shared" si="36"/>
        <v>1</v>
      </c>
      <c r="K152" s="777">
        <f>+'Plan de Accion 2018'!AE41</f>
        <v>0.25</v>
      </c>
      <c r="L152" s="777">
        <f t="shared" si="37"/>
        <v>0.25</v>
      </c>
      <c r="M152" s="1391">
        <f t="shared" si="38"/>
        <v>0.25</v>
      </c>
      <c r="N152" s="887"/>
      <c r="O152" s="776">
        <f>+'Plan de Accion 2018'!AK41</f>
        <v>0.25</v>
      </c>
      <c r="P152" s="777">
        <f>+'Plan de Accion 2018'!BN41</f>
        <v>1</v>
      </c>
      <c r="Q152" s="870">
        <f t="shared" si="32"/>
        <v>1</v>
      </c>
      <c r="R152" s="892">
        <f>+'Plan de Accion 2018'!AO41</f>
        <v>0.5</v>
      </c>
      <c r="S152" s="892">
        <f t="shared" si="29"/>
        <v>0.5</v>
      </c>
      <c r="T152" s="878">
        <f t="shared" si="33"/>
        <v>0.5</v>
      </c>
      <c r="U152" s="336"/>
      <c r="V152" s="776">
        <f>+'Plan de Accion 2018'!AU41</f>
        <v>0</v>
      </c>
      <c r="W152" s="777">
        <f>+'Plan de Accion 2018'!BP41</f>
        <v>0</v>
      </c>
      <c r="X152" s="870">
        <f t="shared" si="34"/>
        <v>0</v>
      </c>
      <c r="Y152" s="777">
        <f>+'Plan de Accion 2018'!AY41</f>
        <v>0.5</v>
      </c>
      <c r="Z152" s="892">
        <f t="shared" si="40"/>
        <v>0.5</v>
      </c>
      <c r="AA152" s="878">
        <f t="shared" si="35"/>
        <v>0.5</v>
      </c>
      <c r="AB152" s="336"/>
      <c r="AC152" s="330">
        <f>+'Plan de Accion 2018'!BE41</f>
        <v>0</v>
      </c>
      <c r="AD152" s="331">
        <f>+'Plan de Accion 2018'!BR41</f>
        <v>0</v>
      </c>
      <c r="AE152" s="870">
        <f t="shared" si="30"/>
        <v>0</v>
      </c>
      <c r="AF152" s="777">
        <f>+'Plan de Accion 2018'!BI41</f>
        <v>0.5</v>
      </c>
      <c r="AG152" s="878">
        <f t="shared" si="31"/>
        <v>0.5</v>
      </c>
      <c r="AH152" s="393"/>
      <c r="AI152" s="373"/>
      <c r="AJ152" s="394"/>
      <c r="AK152" s="395"/>
      <c r="AL152" s="321"/>
      <c r="AM152" s="354"/>
      <c r="AN152" s="355"/>
      <c r="AO152" s="321"/>
      <c r="AP152" s="354"/>
      <c r="AQ152" s="355"/>
      <c r="AR152" s="321"/>
      <c r="AS152" s="354"/>
      <c r="AT152" s="355"/>
      <c r="AU152" s="328"/>
      <c r="AV152" s="390"/>
      <c r="AW152" s="367"/>
      <c r="AX152" s="354"/>
      <c r="AY152" s="355"/>
      <c r="AZ152" s="321"/>
      <c r="BA152" s="354"/>
      <c r="BB152" s="355"/>
      <c r="BC152" s="321"/>
      <c r="BD152" s="354"/>
      <c r="BE152" s="355"/>
      <c r="BF152" s="321"/>
      <c r="BG152" s="354"/>
      <c r="BH152" s="355"/>
      <c r="BI152" s="328"/>
      <c r="BJ152" s="390"/>
      <c r="BL152" s="354"/>
      <c r="BM152" s="355"/>
      <c r="BN152" s="321"/>
      <c r="BO152" s="354"/>
      <c r="BP152" s="355"/>
      <c r="BQ152" s="321"/>
      <c r="BR152" s="354"/>
      <c r="BS152" s="355"/>
      <c r="BT152" s="321"/>
      <c r="BU152" s="354"/>
      <c r="BV152" s="355"/>
      <c r="BW152" s="328"/>
      <c r="BX152" s="390"/>
      <c r="BZ152" s="354"/>
      <c r="CA152" s="355"/>
      <c r="CB152" s="321"/>
      <c r="CC152" s="354"/>
      <c r="CD152" s="355"/>
      <c r="CE152" s="321"/>
      <c r="CF152" s="354"/>
      <c r="CG152" s="355"/>
      <c r="CH152" s="321"/>
      <c r="CI152" s="354"/>
      <c r="CJ152" s="355"/>
      <c r="CK152" s="328"/>
      <c r="CL152" s="390"/>
    </row>
    <row r="153" spans="2:90" ht="42.75" x14ac:dyDescent="0.25">
      <c r="B153" s="1152"/>
      <c r="C153" s="1172"/>
      <c r="D153" s="332" t="str">
        <f>+'Plan de Accion 2018'!F42</f>
        <v>Estados Financieros</v>
      </c>
      <c r="E153" s="1158"/>
      <c r="F153" s="356" t="str">
        <f>+'Plan de Accion 2018'!R42</f>
        <v># Estados Financieros Presentados / # Estados Financieros Programados</v>
      </c>
      <c r="G153" s="335"/>
      <c r="H153" s="776">
        <f>+'Plan de Accion 2018'!AA42</f>
        <v>1</v>
      </c>
      <c r="I153" s="777">
        <f>+'Plan de Accion 2018'!BL42</f>
        <v>1</v>
      </c>
      <c r="J153" s="777">
        <f t="shared" si="36"/>
        <v>1</v>
      </c>
      <c r="K153" s="777">
        <f>+'Plan de Accion 2018'!AE42</f>
        <v>0.25</v>
      </c>
      <c r="L153" s="777">
        <f t="shared" si="37"/>
        <v>0.25</v>
      </c>
      <c r="M153" s="1391">
        <f t="shared" si="38"/>
        <v>0.25</v>
      </c>
      <c r="N153" s="887"/>
      <c r="O153" s="776">
        <f>+'Plan de Accion 2018'!AK42</f>
        <v>1</v>
      </c>
      <c r="P153" s="777">
        <f>+'Plan de Accion 2018'!BN42</f>
        <v>1</v>
      </c>
      <c r="Q153" s="870">
        <f t="shared" si="32"/>
        <v>1</v>
      </c>
      <c r="R153" s="892">
        <f>+'Plan de Accion 2018'!AO42</f>
        <v>0.5</v>
      </c>
      <c r="S153" s="892">
        <f t="shared" si="29"/>
        <v>0.5</v>
      </c>
      <c r="T153" s="878">
        <f t="shared" si="33"/>
        <v>0.5</v>
      </c>
      <c r="U153" s="336"/>
      <c r="V153" s="776">
        <f>+'Plan de Accion 2018'!AU42</f>
        <v>0</v>
      </c>
      <c r="W153" s="777">
        <f>+'Plan de Accion 2018'!BP42</f>
        <v>0</v>
      </c>
      <c r="X153" s="870">
        <f t="shared" si="34"/>
        <v>0</v>
      </c>
      <c r="Y153" s="777">
        <f>+'Plan de Accion 2018'!AY42</f>
        <v>0.5</v>
      </c>
      <c r="Z153" s="892">
        <f t="shared" si="40"/>
        <v>0.5</v>
      </c>
      <c r="AA153" s="878">
        <f t="shared" si="35"/>
        <v>0.5</v>
      </c>
      <c r="AB153" s="336"/>
      <c r="AC153" s="330">
        <f>+'Plan de Accion 2018'!BE42</f>
        <v>0</v>
      </c>
      <c r="AD153" s="331">
        <f>+'Plan de Accion 2018'!BR42</f>
        <v>0</v>
      </c>
      <c r="AE153" s="870">
        <f t="shared" si="30"/>
        <v>0</v>
      </c>
      <c r="AF153" s="777">
        <f>+'Plan de Accion 2018'!BI42</f>
        <v>0.5</v>
      </c>
      <c r="AG153" s="878">
        <f t="shared" si="31"/>
        <v>0.5</v>
      </c>
      <c r="AH153" s="393"/>
      <c r="AI153" s="373"/>
      <c r="AJ153" s="394"/>
      <c r="AK153" s="395"/>
      <c r="AL153" s="321"/>
      <c r="AM153" s="354"/>
      <c r="AN153" s="355"/>
      <c r="AO153" s="321"/>
      <c r="AP153" s="354"/>
      <c r="AQ153" s="355"/>
      <c r="AR153" s="321"/>
      <c r="AS153" s="354"/>
      <c r="AT153" s="355"/>
      <c r="AU153" s="328"/>
      <c r="AV153" s="390"/>
      <c r="AW153" s="367"/>
      <c r="AX153" s="354"/>
      <c r="AY153" s="355"/>
      <c r="AZ153" s="321"/>
      <c r="BA153" s="354"/>
      <c r="BB153" s="355"/>
      <c r="BC153" s="321"/>
      <c r="BD153" s="354"/>
      <c r="BE153" s="355"/>
      <c r="BF153" s="321"/>
      <c r="BG153" s="354"/>
      <c r="BH153" s="355"/>
      <c r="BI153" s="328"/>
      <c r="BJ153" s="390"/>
      <c r="BL153" s="354"/>
      <c r="BM153" s="355"/>
      <c r="BN153" s="321"/>
      <c r="BO153" s="354"/>
      <c r="BP153" s="355"/>
      <c r="BQ153" s="321"/>
      <c r="BR153" s="354"/>
      <c r="BS153" s="355"/>
      <c r="BT153" s="321"/>
      <c r="BU153" s="354"/>
      <c r="BV153" s="355"/>
      <c r="BW153" s="328"/>
      <c r="BX153" s="390"/>
      <c r="BZ153" s="354"/>
      <c r="CA153" s="355"/>
      <c r="CB153" s="321"/>
      <c r="CC153" s="354"/>
      <c r="CD153" s="355"/>
      <c r="CE153" s="321"/>
      <c r="CF153" s="354"/>
      <c r="CG153" s="355"/>
      <c r="CH153" s="321"/>
      <c r="CI153" s="354"/>
      <c r="CJ153" s="355"/>
      <c r="CK153" s="328"/>
      <c r="CL153" s="390"/>
    </row>
    <row r="154" spans="2:90" ht="43.5" thickBot="1" x14ac:dyDescent="0.3">
      <c r="B154" s="1152"/>
      <c r="C154" s="1173"/>
      <c r="D154" s="337" t="str">
        <f>+'Plan de Accion 2018'!F43</f>
        <v>Informe Operaciones Reciprocas CGN</v>
      </c>
      <c r="E154" s="1099"/>
      <c r="F154" s="392" t="str">
        <f>+'Plan de Accion 2018'!R43</f>
        <v># Informes Publicados / # Informes Proyectados a Publicar</v>
      </c>
      <c r="G154" s="335"/>
      <c r="H154" s="340">
        <f>+'Plan de Accion 2018'!AA43</f>
        <v>1</v>
      </c>
      <c r="I154" s="928">
        <f>+'Plan de Accion 2018'!BL43</f>
        <v>1</v>
      </c>
      <c r="J154" s="928">
        <f t="shared" si="36"/>
        <v>1</v>
      </c>
      <c r="K154" s="928">
        <f>+'Plan de Accion 2018'!AE43</f>
        <v>0.25</v>
      </c>
      <c r="L154" s="928">
        <f t="shared" si="37"/>
        <v>0.25</v>
      </c>
      <c r="M154" s="930">
        <f t="shared" si="38"/>
        <v>0.25</v>
      </c>
      <c r="N154" s="887"/>
      <c r="O154" s="340">
        <f>+'Plan de Accion 2018'!AK43</f>
        <v>1</v>
      </c>
      <c r="P154" s="890">
        <f>+'Plan de Accion 2018'!BN43</f>
        <v>1</v>
      </c>
      <c r="Q154" s="872">
        <f t="shared" si="32"/>
        <v>1</v>
      </c>
      <c r="R154" s="892">
        <f>+'Plan de Accion 2018'!AO43</f>
        <v>0.5</v>
      </c>
      <c r="S154" s="891">
        <f t="shared" si="29"/>
        <v>0.5</v>
      </c>
      <c r="T154" s="878">
        <f t="shared" si="33"/>
        <v>0.5</v>
      </c>
      <c r="U154" s="336"/>
      <c r="V154" s="340">
        <f>+'Plan de Accion 2018'!AU43</f>
        <v>0</v>
      </c>
      <c r="W154" s="890">
        <f>+'Plan de Accion 2018'!BP43</f>
        <v>0</v>
      </c>
      <c r="X154" s="870">
        <f t="shared" si="34"/>
        <v>0</v>
      </c>
      <c r="Y154" s="890">
        <f>+'Plan de Accion 2018'!AY43</f>
        <v>0.5</v>
      </c>
      <c r="Z154" s="892">
        <f t="shared" si="40"/>
        <v>0.5</v>
      </c>
      <c r="AA154" s="878">
        <f t="shared" si="35"/>
        <v>0.5</v>
      </c>
      <c r="AB154" s="336"/>
      <c r="AC154" s="340">
        <f>+'Plan de Accion 2018'!BE43</f>
        <v>0</v>
      </c>
      <c r="AD154" s="341">
        <f>+'Plan de Accion 2018'!BR43</f>
        <v>0</v>
      </c>
      <c r="AE154" s="870">
        <f t="shared" si="30"/>
        <v>0</v>
      </c>
      <c r="AF154" s="885">
        <f>+'Plan de Accion 2018'!BI43</f>
        <v>0.5</v>
      </c>
      <c r="AG154" s="878">
        <f t="shared" si="31"/>
        <v>0.5</v>
      </c>
      <c r="AH154" s="393"/>
      <c r="AI154" s="373"/>
      <c r="AJ154" s="394"/>
      <c r="AK154" s="395"/>
      <c r="AL154" s="321"/>
      <c r="AM154" s="354"/>
      <c r="AN154" s="355"/>
      <c r="AO154" s="321"/>
      <c r="AP154" s="354"/>
      <c r="AQ154" s="355"/>
      <c r="AR154" s="321"/>
      <c r="AS154" s="354"/>
      <c r="AT154" s="355"/>
      <c r="AU154" s="328"/>
      <c r="AV154" s="390"/>
      <c r="AW154" s="367"/>
      <c r="AX154" s="354"/>
      <c r="AY154" s="355"/>
      <c r="AZ154" s="321"/>
      <c r="BA154" s="354"/>
      <c r="BB154" s="355"/>
      <c r="BC154" s="321"/>
      <c r="BD154" s="354"/>
      <c r="BE154" s="355"/>
      <c r="BF154" s="321"/>
      <c r="BG154" s="354"/>
      <c r="BH154" s="355"/>
      <c r="BI154" s="328"/>
      <c r="BJ154" s="390"/>
      <c r="BL154" s="354"/>
      <c r="BM154" s="355"/>
      <c r="BN154" s="321"/>
      <c r="BO154" s="354"/>
      <c r="BP154" s="355"/>
      <c r="BQ154" s="321"/>
      <c r="BR154" s="354"/>
      <c r="BS154" s="355"/>
      <c r="BT154" s="321"/>
      <c r="BU154" s="354"/>
      <c r="BV154" s="355"/>
      <c r="BW154" s="328"/>
      <c r="BX154" s="390"/>
      <c r="BZ154" s="354"/>
      <c r="CA154" s="355"/>
      <c r="CB154" s="321"/>
      <c r="CC154" s="354"/>
      <c r="CD154" s="355"/>
      <c r="CE154" s="321"/>
      <c r="CF154" s="354"/>
      <c r="CG154" s="355"/>
      <c r="CH154" s="321"/>
      <c r="CI154" s="354"/>
      <c r="CJ154" s="355"/>
      <c r="CK154" s="328"/>
      <c r="CL154" s="390"/>
    </row>
    <row r="155" spans="2:90" ht="36.75" customHeight="1" thickBot="1" x14ac:dyDescent="0.3">
      <c r="B155" s="1157"/>
      <c r="C155" s="1142" t="s">
        <v>809</v>
      </c>
      <c r="D155" s="1143"/>
      <c r="E155" s="1143"/>
      <c r="F155" s="1144"/>
      <c r="G155" s="378"/>
      <c r="H155" s="358" t="s">
        <v>792</v>
      </c>
      <c r="I155" s="344">
        <f>SUM(I147:I154)/COUNT(I147:I154)</f>
        <v>0.97735018479643931</v>
      </c>
      <c r="J155" s="344">
        <f t="shared" si="36"/>
        <v>0.97735018479643931</v>
      </c>
      <c r="K155" s="344">
        <f>SUM(K147:K154)/COUNT(K147:K154)</f>
        <v>0.24433754619910983</v>
      </c>
      <c r="L155" s="344">
        <f t="shared" ref="L155:M155" si="41">SUM(L147:L154)/COUNT(L147:L154)</f>
        <v>0.24433754619910983</v>
      </c>
      <c r="M155" s="346">
        <f t="shared" si="41"/>
        <v>0.24433754619910983</v>
      </c>
      <c r="N155" s="1406"/>
      <c r="O155" s="358" t="s">
        <v>792</v>
      </c>
      <c r="P155" s="876">
        <f>SUM(P147:P154)/COUNT(P147:P154)</f>
        <v>0.96989999999999998</v>
      </c>
      <c r="Q155" s="876">
        <f>SUM(Q147:Q154)/COUNT(Q147:Q154)</f>
        <v>0.96989999999999998</v>
      </c>
      <c r="R155" s="880">
        <f>SUM(R147:R154)/COUNT(R147:R154)</f>
        <v>0.48681254619910985</v>
      </c>
      <c r="S155" s="918">
        <f>SUM(S147:S154)/COUNT(S147:S154)</f>
        <v>0.48681254619910985</v>
      </c>
      <c r="T155" s="888">
        <f>SUM(T147:T154)/COUNT(T147:T154)</f>
        <v>0.48681254619910985</v>
      </c>
      <c r="U155" s="369"/>
      <c r="V155" s="358" t="s">
        <v>792</v>
      </c>
      <c r="W155" s="344">
        <f>SUM(W147:W154)/COUNT(W147:W154)</f>
        <v>0</v>
      </c>
      <c r="X155" s="344">
        <f>SUM(X147:X154)/COUNT(X147:X154)</f>
        <v>0</v>
      </c>
      <c r="Y155" s="876">
        <f>SUM(Y147:Y154)/COUNT(Y147:Y154)</f>
        <v>0.48681254619910985</v>
      </c>
      <c r="Z155" s="344">
        <f>SUM(Z147:Z154)/COUNT(Z147:Z154)</f>
        <v>0.48681254619910985</v>
      </c>
      <c r="AA155" s="346">
        <f>SUM(AA147:AA154)/COUNT(AA147:AA154)</f>
        <v>0.48681254619910985</v>
      </c>
      <c r="AB155" s="369"/>
      <c r="AC155" s="358" t="s">
        <v>792</v>
      </c>
      <c r="AD155" s="344">
        <f>SUM(AD147:AD154)/COUNT(AD147:AD154)</f>
        <v>0</v>
      </c>
      <c r="AE155" s="344">
        <f>SUM(AE147:AE154)/COUNT(AE147:AE154)</f>
        <v>0</v>
      </c>
      <c r="AF155" s="876">
        <f>SUM(AF147:AF154)/COUNT(AF147:AF154)</f>
        <v>0.48681254619910985</v>
      </c>
      <c r="AG155" s="346">
        <f>SUM(AG147:AG154)/COUNT(AG147:AG154)</f>
        <v>0.48681254619910985</v>
      </c>
      <c r="AH155" s="390"/>
      <c r="AI155" s="363"/>
      <c r="AJ155" s="354"/>
      <c r="AK155" s="355"/>
      <c r="AL155" s="321"/>
      <c r="AM155" s="354"/>
      <c r="AN155" s="355"/>
      <c r="AO155" s="321"/>
      <c r="AP155" s="354"/>
      <c r="AQ155" s="355"/>
      <c r="AR155" s="321"/>
      <c r="AS155" s="354"/>
      <c r="AT155" s="355"/>
      <c r="AU155" s="328"/>
      <c r="AV155" s="390"/>
      <c r="AW155" s="367"/>
      <c r="AX155" s="354"/>
      <c r="AY155" s="355"/>
      <c r="AZ155" s="321"/>
      <c r="BA155" s="354"/>
      <c r="BB155" s="355"/>
      <c r="BC155" s="321"/>
      <c r="BD155" s="354"/>
      <c r="BE155" s="355"/>
      <c r="BF155" s="321"/>
      <c r="BG155" s="354"/>
      <c r="BH155" s="355"/>
      <c r="BI155" s="328"/>
      <c r="BJ155" s="390"/>
      <c r="BL155" s="354"/>
      <c r="BM155" s="355"/>
      <c r="BN155" s="321"/>
      <c r="BO155" s="354"/>
      <c r="BP155" s="355"/>
      <c r="BQ155" s="321"/>
      <c r="BR155" s="354"/>
      <c r="BS155" s="355"/>
      <c r="BT155" s="321"/>
      <c r="BU155" s="354"/>
      <c r="BV155" s="355"/>
      <c r="BW155" s="328"/>
      <c r="BX155" s="390"/>
      <c r="BZ155" s="354"/>
      <c r="CA155" s="355"/>
      <c r="CB155" s="321"/>
      <c r="CC155" s="354"/>
      <c r="CD155" s="355"/>
      <c r="CE155" s="321"/>
      <c r="CF155" s="354"/>
      <c r="CG155" s="355"/>
      <c r="CH155" s="321"/>
      <c r="CI155" s="354"/>
      <c r="CJ155" s="355"/>
      <c r="CK155" s="328"/>
      <c r="CL155" s="390"/>
    </row>
    <row r="156" spans="2:90" s="299" customFormat="1" ht="57" x14ac:dyDescent="0.25">
      <c r="B156" s="1152"/>
      <c r="C156" s="1164" t="s">
        <v>146</v>
      </c>
      <c r="D156" s="360" t="str">
        <f>+'Plan de Accion 2018'!F125</f>
        <v xml:space="preserve">Informes de respuestas a las acciones constitucionales  y de  tutelas </v>
      </c>
      <c r="E156" s="1102" t="str">
        <f>+'Plan de Accion 2018'!B125</f>
        <v>Oficina Asesora Jurídica</v>
      </c>
      <c r="F156" s="361" t="str">
        <f>+'Plan de Accion 2018'!R125</f>
        <v># Tutela Tramitadas Oportunamente / # Tutelas Radicadas que Requieren Trámite</v>
      </c>
      <c r="G156" s="335"/>
      <c r="H156" s="322">
        <f>+'Plan de Accion 2018'!AA125</f>
        <v>0.24933884297520661</v>
      </c>
      <c r="I156" s="929">
        <f>+'Plan de Accion 2018'!BL125</f>
        <v>0.99735537190082646</v>
      </c>
      <c r="J156" s="929">
        <f t="shared" si="36"/>
        <v>0.99735537190082646</v>
      </c>
      <c r="K156" s="929">
        <f>+'Plan de Accion 2018'!AE125</f>
        <v>0.24933884297520661</v>
      </c>
      <c r="L156" s="929">
        <f t="shared" si="37"/>
        <v>0.24933884297520661</v>
      </c>
      <c r="M156" s="931">
        <f t="shared" si="38"/>
        <v>0.24933884297520661</v>
      </c>
      <c r="N156" s="887"/>
      <c r="O156" s="322">
        <f>+'Plan de Accion 2018'!AK125</f>
        <v>0.24910897765219625</v>
      </c>
      <c r="P156" s="892">
        <f>+'Plan de Accion 2018'!BN125</f>
        <v>0.996435910608785</v>
      </c>
      <c r="Q156" s="870">
        <f t="shared" si="32"/>
        <v>0.996435910608785</v>
      </c>
      <c r="R156" s="892">
        <f>+'Plan de Accion 2018'!AO125</f>
        <v>0.49844782062740289</v>
      </c>
      <c r="S156" s="892">
        <f t="shared" si="29"/>
        <v>0.49844782062740289</v>
      </c>
      <c r="T156" s="878">
        <f t="shared" si="33"/>
        <v>0.49844782062740289</v>
      </c>
      <c r="U156" s="336"/>
      <c r="V156" s="322">
        <f>+'Plan de Accion 2018'!AU125</f>
        <v>0</v>
      </c>
      <c r="W156" s="892">
        <f>+'Plan de Accion 2018'!BP125</f>
        <v>0</v>
      </c>
      <c r="X156" s="870">
        <f t="shared" si="34"/>
        <v>0</v>
      </c>
      <c r="Y156" s="892">
        <f>+'Plan de Accion 2018'!AY125</f>
        <v>0.49844782062740289</v>
      </c>
      <c r="Z156" s="892">
        <f t="shared" ref="Z156:Z166" si="42">IF(Y156&gt;75%,75%,Y156)</f>
        <v>0.49844782062740289</v>
      </c>
      <c r="AA156" s="878">
        <f t="shared" si="35"/>
        <v>0.49844782062740289</v>
      </c>
      <c r="AB156" s="336"/>
      <c r="AC156" s="322">
        <f>+'Plan de Accion 2018'!BE125</f>
        <v>0</v>
      </c>
      <c r="AD156" s="323">
        <f>+'Plan de Accion 2018'!BR125</f>
        <v>0</v>
      </c>
      <c r="AE156" s="870">
        <f t="shared" si="30"/>
        <v>0</v>
      </c>
      <c r="AF156" s="886">
        <f>+'Plan de Accion 2018'!BI125</f>
        <v>0.49844782062740289</v>
      </c>
      <c r="AG156" s="878">
        <f t="shared" si="31"/>
        <v>0.49844782062740289</v>
      </c>
      <c r="AH156" s="393"/>
      <c r="AI156" s="373"/>
      <c r="AJ156" s="394"/>
      <c r="AK156" s="395"/>
      <c r="AL156" s="321"/>
      <c r="AM156" s="394"/>
      <c r="AN156" s="395"/>
      <c r="AO156" s="321"/>
      <c r="AP156" s="394"/>
      <c r="AQ156" s="395"/>
      <c r="AR156" s="321"/>
      <c r="AS156" s="394"/>
      <c r="AT156" s="395"/>
      <c r="AU156" s="396"/>
      <c r="AV156" s="393"/>
      <c r="AW156" s="376"/>
      <c r="AX156" s="394"/>
      <c r="AY156" s="395"/>
      <c r="AZ156" s="321"/>
      <c r="BA156" s="394"/>
      <c r="BB156" s="395"/>
      <c r="BC156" s="321"/>
      <c r="BD156" s="394"/>
      <c r="BE156" s="395"/>
      <c r="BF156" s="321"/>
      <c r="BG156" s="394"/>
      <c r="BH156" s="395"/>
      <c r="BI156" s="396"/>
      <c r="BJ156" s="393"/>
      <c r="BL156" s="394"/>
      <c r="BM156" s="395"/>
      <c r="BN156" s="321"/>
      <c r="BO156" s="394"/>
      <c r="BP156" s="395"/>
      <c r="BQ156" s="321"/>
      <c r="BR156" s="394"/>
      <c r="BS156" s="395"/>
      <c r="BT156" s="321"/>
      <c r="BU156" s="394"/>
      <c r="BV156" s="395"/>
      <c r="BW156" s="396"/>
      <c r="BX156" s="393"/>
      <c r="BZ156" s="394"/>
      <c r="CA156" s="395"/>
      <c r="CB156" s="321"/>
      <c r="CC156" s="394"/>
      <c r="CD156" s="395"/>
      <c r="CE156" s="321"/>
      <c r="CF156" s="394"/>
      <c r="CG156" s="395"/>
      <c r="CH156" s="321"/>
      <c r="CI156" s="394"/>
      <c r="CJ156" s="395"/>
      <c r="CK156" s="396"/>
      <c r="CL156" s="393"/>
    </row>
    <row r="157" spans="2:90" s="299" customFormat="1" ht="57" x14ac:dyDescent="0.25">
      <c r="B157" s="1152"/>
      <c r="C157" s="1164"/>
      <c r="D157" s="332" t="str">
        <f>+'Plan de Accion 2018'!F126</f>
        <v>Representación  judicial - Demandas Laborales</v>
      </c>
      <c r="E157" s="1102"/>
      <c r="F157" s="356" t="str">
        <f>+'Plan de Accion 2018'!R126</f>
        <v># Demandas Laborales Contestadas Oportunamente / # Demandas Laborales Notificadas a la Entidad</v>
      </c>
      <c r="G157" s="335"/>
      <c r="H157" s="776">
        <f>+'Plan de Accion 2018'!AA126</f>
        <v>0.25</v>
      </c>
      <c r="I157" s="777">
        <f>+'Plan de Accion 2018'!BL126</f>
        <v>1</v>
      </c>
      <c r="J157" s="777">
        <f t="shared" si="36"/>
        <v>1</v>
      </c>
      <c r="K157" s="777">
        <f>+'Plan de Accion 2018'!AE126</f>
        <v>0.25</v>
      </c>
      <c r="L157" s="777">
        <f t="shared" si="37"/>
        <v>0.25</v>
      </c>
      <c r="M157" s="1391">
        <f t="shared" si="38"/>
        <v>0.25</v>
      </c>
      <c r="N157" s="887"/>
      <c r="O157" s="776">
        <f>+'Plan de Accion 2018'!AK126</f>
        <v>0.23749999999999999</v>
      </c>
      <c r="P157" s="777">
        <f>+'Plan de Accion 2018'!BN126</f>
        <v>0.95</v>
      </c>
      <c r="Q157" s="870">
        <f t="shared" si="32"/>
        <v>0.95</v>
      </c>
      <c r="R157" s="892">
        <f>+'Plan de Accion 2018'!AO126</f>
        <v>0.48749999999999999</v>
      </c>
      <c r="S157" s="892">
        <f t="shared" si="29"/>
        <v>0.48749999999999999</v>
      </c>
      <c r="T157" s="878">
        <f t="shared" si="33"/>
        <v>0.48749999999999999</v>
      </c>
      <c r="U157" s="336"/>
      <c r="V157" s="776">
        <f>+'Plan de Accion 2018'!AU126</f>
        <v>0</v>
      </c>
      <c r="W157" s="777">
        <f>+'Plan de Accion 2018'!BP126</f>
        <v>0</v>
      </c>
      <c r="X157" s="870">
        <f t="shared" si="34"/>
        <v>0</v>
      </c>
      <c r="Y157" s="777">
        <f>+'Plan de Accion 2018'!AY126</f>
        <v>0.48749999999999999</v>
      </c>
      <c r="Z157" s="892">
        <f t="shared" si="42"/>
        <v>0.48749999999999999</v>
      </c>
      <c r="AA157" s="878">
        <f t="shared" si="35"/>
        <v>0.48749999999999999</v>
      </c>
      <c r="AB157" s="336"/>
      <c r="AC157" s="330">
        <f>+'Plan de Accion 2018'!BE126</f>
        <v>0</v>
      </c>
      <c r="AD157" s="331">
        <f>+'Plan de Accion 2018'!BR126</f>
        <v>0</v>
      </c>
      <c r="AE157" s="870">
        <f t="shared" si="30"/>
        <v>0</v>
      </c>
      <c r="AF157" s="777">
        <f>+'Plan de Accion 2018'!BI126</f>
        <v>0.48749999999999999</v>
      </c>
      <c r="AG157" s="878">
        <f t="shared" si="31"/>
        <v>0.48749999999999999</v>
      </c>
      <c r="AH157" s="393"/>
      <c r="AI157" s="373"/>
      <c r="AJ157" s="394"/>
      <c r="AK157" s="395"/>
      <c r="AL157" s="321"/>
      <c r="AM157" s="394"/>
      <c r="AN157" s="395"/>
      <c r="AO157" s="321"/>
      <c r="AP157" s="394"/>
      <c r="AQ157" s="395"/>
      <c r="AR157" s="321"/>
      <c r="AS157" s="394"/>
      <c r="AT157" s="395"/>
      <c r="AU157" s="396"/>
      <c r="AV157" s="393"/>
      <c r="AW157" s="376"/>
      <c r="AX157" s="394"/>
      <c r="AY157" s="395"/>
      <c r="AZ157" s="321"/>
      <c r="BA157" s="394"/>
      <c r="BB157" s="395"/>
      <c r="BC157" s="321"/>
      <c r="BD157" s="394"/>
      <c r="BE157" s="395"/>
      <c r="BF157" s="321"/>
      <c r="BG157" s="394"/>
      <c r="BH157" s="395"/>
      <c r="BI157" s="396"/>
      <c r="BJ157" s="393"/>
      <c r="BL157" s="394"/>
      <c r="BM157" s="395"/>
      <c r="BN157" s="321"/>
      <c r="BO157" s="394"/>
      <c r="BP157" s="395"/>
      <c r="BQ157" s="321"/>
      <c r="BR157" s="394"/>
      <c r="BS157" s="395"/>
      <c r="BT157" s="321"/>
      <c r="BU157" s="394"/>
      <c r="BV157" s="395"/>
      <c r="BW157" s="396"/>
      <c r="BX157" s="393"/>
      <c r="BZ157" s="394"/>
      <c r="CA157" s="395"/>
      <c r="CB157" s="321"/>
      <c r="CC157" s="394"/>
      <c r="CD157" s="395"/>
      <c r="CE157" s="321"/>
      <c r="CF157" s="394"/>
      <c r="CG157" s="395"/>
      <c r="CH157" s="321"/>
      <c r="CI157" s="394"/>
      <c r="CJ157" s="395"/>
      <c r="CK157" s="396"/>
      <c r="CL157" s="393"/>
    </row>
    <row r="158" spans="2:90" s="299" customFormat="1" ht="71.25" x14ac:dyDescent="0.25">
      <c r="B158" s="1152"/>
      <c r="C158" s="1164"/>
      <c r="D158" s="332" t="str">
        <f>+'Plan de Accion 2018'!F127</f>
        <v>Representación  judicial - Procesos Administrativos</v>
      </c>
      <c r="E158" s="1102"/>
      <c r="F158" s="356" t="str">
        <f>+'Plan de Accion 2018'!R127</f>
        <v># Procesos contenciosos administrativos contestados oportunamente / # Procesos contenciosos administrativos notificados a la Entidad</v>
      </c>
      <c r="G158" s="335"/>
      <c r="H158" s="776">
        <f>+'Plan de Accion 2018'!AA127</f>
        <v>5.9523809523809521E-2</v>
      </c>
      <c r="I158" s="777">
        <f>+'Plan de Accion 2018'!BL127</f>
        <v>0.23809523809523808</v>
      </c>
      <c r="J158" s="777">
        <f t="shared" si="36"/>
        <v>0.23809523809523808</v>
      </c>
      <c r="K158" s="777">
        <f>+'Plan de Accion 2018'!AE127</f>
        <v>5.9523809523809521E-2</v>
      </c>
      <c r="L158" s="777">
        <f t="shared" si="37"/>
        <v>5.9523809523809521E-2</v>
      </c>
      <c r="M158" s="1391">
        <f t="shared" si="38"/>
        <v>5.9523809523809521E-2</v>
      </c>
      <c r="N158" s="887"/>
      <c r="O158" s="776">
        <f>+'Plan de Accion 2018'!AK127</f>
        <v>8.4375000000000006E-2</v>
      </c>
      <c r="P158" s="777">
        <f>+'Plan de Accion 2018'!BN127</f>
        <v>0.33750000000000002</v>
      </c>
      <c r="Q158" s="870">
        <f t="shared" si="32"/>
        <v>0.33750000000000002</v>
      </c>
      <c r="R158" s="892">
        <f>+'Plan de Accion 2018'!AO127</f>
        <v>0.14389880952380951</v>
      </c>
      <c r="S158" s="892">
        <f t="shared" si="29"/>
        <v>0.14389880952380951</v>
      </c>
      <c r="T158" s="878">
        <f t="shared" si="33"/>
        <v>0.14389880952380951</v>
      </c>
      <c r="U158" s="336"/>
      <c r="V158" s="776">
        <f>+'Plan de Accion 2018'!AU127</f>
        <v>0</v>
      </c>
      <c r="W158" s="777">
        <f>+'Plan de Accion 2018'!BP127</f>
        <v>0</v>
      </c>
      <c r="X158" s="870">
        <f t="shared" si="34"/>
        <v>0</v>
      </c>
      <c r="Y158" s="777">
        <f>+'Plan de Accion 2018'!AY127</f>
        <v>0.14389880952380951</v>
      </c>
      <c r="Z158" s="892">
        <f t="shared" si="42"/>
        <v>0.14389880952380951</v>
      </c>
      <c r="AA158" s="878">
        <f t="shared" si="35"/>
        <v>0.14389880952380951</v>
      </c>
      <c r="AB158" s="336"/>
      <c r="AC158" s="330">
        <f>+'Plan de Accion 2018'!BE127</f>
        <v>0</v>
      </c>
      <c r="AD158" s="331">
        <f>+'Plan de Accion 2018'!BR127</f>
        <v>0</v>
      </c>
      <c r="AE158" s="870">
        <f t="shared" si="30"/>
        <v>0</v>
      </c>
      <c r="AF158" s="777">
        <f>+'Plan de Accion 2018'!BI127</f>
        <v>0.14389880952380951</v>
      </c>
      <c r="AG158" s="878">
        <f t="shared" si="31"/>
        <v>0.14389880952380951</v>
      </c>
      <c r="AH158" s="393"/>
      <c r="AI158" s="373"/>
      <c r="AJ158" s="394"/>
      <c r="AK158" s="395"/>
      <c r="AL158" s="321"/>
      <c r="AM158" s="394"/>
      <c r="AN158" s="395"/>
      <c r="AO158" s="321"/>
      <c r="AP158" s="394"/>
      <c r="AQ158" s="395"/>
      <c r="AR158" s="321"/>
      <c r="AS158" s="394"/>
      <c r="AT158" s="395"/>
      <c r="AU158" s="396"/>
      <c r="AV158" s="393"/>
      <c r="AW158" s="376"/>
      <c r="AX158" s="394"/>
      <c r="AY158" s="395"/>
      <c r="AZ158" s="321"/>
      <c r="BA158" s="394"/>
      <c r="BB158" s="395"/>
      <c r="BC158" s="321"/>
      <c r="BD158" s="394"/>
      <c r="BE158" s="395"/>
      <c r="BF158" s="321"/>
      <c r="BG158" s="394"/>
      <c r="BH158" s="395"/>
      <c r="BI158" s="396"/>
      <c r="BJ158" s="393"/>
      <c r="BL158" s="394"/>
      <c r="BM158" s="395"/>
      <c r="BN158" s="321"/>
      <c r="BO158" s="394"/>
      <c r="BP158" s="395"/>
      <c r="BQ158" s="321"/>
      <c r="BR158" s="394"/>
      <c r="BS158" s="395"/>
      <c r="BT158" s="321"/>
      <c r="BU158" s="394"/>
      <c r="BV158" s="395"/>
      <c r="BW158" s="396"/>
      <c r="BX158" s="393"/>
      <c r="BZ158" s="394"/>
      <c r="CA158" s="395"/>
      <c r="CB158" s="321"/>
      <c r="CC158" s="394"/>
      <c r="CD158" s="395"/>
      <c r="CE158" s="321"/>
      <c r="CF158" s="394"/>
      <c r="CG158" s="395"/>
      <c r="CH158" s="321"/>
      <c r="CI158" s="394"/>
      <c r="CJ158" s="395"/>
      <c r="CK158" s="396"/>
      <c r="CL158" s="393"/>
    </row>
    <row r="159" spans="2:90" s="299" customFormat="1" ht="57" x14ac:dyDescent="0.25">
      <c r="B159" s="1152"/>
      <c r="C159" s="1164"/>
      <c r="D159" s="332" t="str">
        <f>+'Plan de Accion 2018'!F128</f>
        <v>Respuesta y trámite de pruebas atendidas</v>
      </c>
      <c r="E159" s="1102"/>
      <c r="F159" s="356" t="str">
        <f>+'Plan de Accion 2018'!R128</f>
        <v># Solicitudes de pruebas atendidas / # Solicitudes de pruebas radicadas en la Entidad</v>
      </c>
      <c r="G159" s="335"/>
      <c r="H159" s="776">
        <f>+'Plan de Accion 2018'!AA128</f>
        <v>0.2483108108108108</v>
      </c>
      <c r="I159" s="777">
        <f>+'Plan de Accion 2018'!BL128</f>
        <v>0.9932432432432432</v>
      </c>
      <c r="J159" s="777">
        <f t="shared" si="36"/>
        <v>0.9932432432432432</v>
      </c>
      <c r="K159" s="777">
        <f>+'Plan de Accion 2018'!AE128</f>
        <v>0.2483108108108108</v>
      </c>
      <c r="L159" s="777">
        <f t="shared" si="37"/>
        <v>0.2483108108108108</v>
      </c>
      <c r="M159" s="1391">
        <f t="shared" si="38"/>
        <v>0.2483108108108108</v>
      </c>
      <c r="N159" s="887"/>
      <c r="O159" s="776">
        <f>+'Plan de Accion 2018'!AK128</f>
        <v>0.20967741935483872</v>
      </c>
      <c r="P159" s="777">
        <f>+'Plan de Accion 2018'!BN128</f>
        <v>0.83870967741935487</v>
      </c>
      <c r="Q159" s="870">
        <f t="shared" si="32"/>
        <v>0.83870967741935487</v>
      </c>
      <c r="R159" s="892">
        <f>+'Plan de Accion 2018'!AO128</f>
        <v>0.45798823016564949</v>
      </c>
      <c r="S159" s="892">
        <f t="shared" si="29"/>
        <v>0.45798823016564949</v>
      </c>
      <c r="T159" s="878">
        <f t="shared" si="33"/>
        <v>0.45798823016564949</v>
      </c>
      <c r="U159" s="336"/>
      <c r="V159" s="776">
        <f>+'Plan de Accion 2018'!AU128</f>
        <v>0</v>
      </c>
      <c r="W159" s="777">
        <f>+'Plan de Accion 2018'!BP128</f>
        <v>0</v>
      </c>
      <c r="X159" s="870">
        <f t="shared" si="34"/>
        <v>0</v>
      </c>
      <c r="Y159" s="777">
        <f>+'Plan de Accion 2018'!AY128</f>
        <v>0.45798823016564949</v>
      </c>
      <c r="Z159" s="892">
        <f t="shared" si="42"/>
        <v>0.45798823016564949</v>
      </c>
      <c r="AA159" s="878">
        <f t="shared" si="35"/>
        <v>0.45798823016564949</v>
      </c>
      <c r="AB159" s="336"/>
      <c r="AC159" s="330">
        <f>+'Plan de Accion 2018'!BE128</f>
        <v>0</v>
      </c>
      <c r="AD159" s="331">
        <f>+'Plan de Accion 2018'!BR128</f>
        <v>0</v>
      </c>
      <c r="AE159" s="870">
        <f t="shared" si="30"/>
        <v>0</v>
      </c>
      <c r="AF159" s="777">
        <f>+'Plan de Accion 2018'!BI128</f>
        <v>0.45798823016564949</v>
      </c>
      <c r="AG159" s="878">
        <f t="shared" si="31"/>
        <v>0.45798823016564949</v>
      </c>
      <c r="AH159" s="393"/>
      <c r="AI159" s="373"/>
      <c r="AJ159" s="394"/>
      <c r="AK159" s="395"/>
      <c r="AL159" s="321"/>
      <c r="AM159" s="394"/>
      <c r="AN159" s="395"/>
      <c r="AO159" s="321"/>
      <c r="AP159" s="394"/>
      <c r="AQ159" s="395"/>
      <c r="AR159" s="321"/>
      <c r="AS159" s="394"/>
      <c r="AT159" s="395"/>
      <c r="AU159" s="396"/>
      <c r="AV159" s="393"/>
      <c r="AW159" s="376"/>
      <c r="AX159" s="394"/>
      <c r="AY159" s="395"/>
      <c r="AZ159" s="321"/>
      <c r="BA159" s="394"/>
      <c r="BB159" s="395"/>
      <c r="BC159" s="321"/>
      <c r="BD159" s="394"/>
      <c r="BE159" s="395"/>
      <c r="BF159" s="321"/>
      <c r="BG159" s="394"/>
      <c r="BH159" s="395"/>
      <c r="BI159" s="396"/>
      <c r="BJ159" s="393"/>
      <c r="BL159" s="394"/>
      <c r="BM159" s="395"/>
      <c r="BN159" s="321"/>
      <c r="BO159" s="394"/>
      <c r="BP159" s="395"/>
      <c r="BQ159" s="321"/>
      <c r="BR159" s="394"/>
      <c r="BS159" s="395"/>
      <c r="BT159" s="321"/>
      <c r="BU159" s="394"/>
      <c r="BV159" s="395"/>
      <c r="BW159" s="396"/>
      <c r="BX159" s="393"/>
      <c r="BZ159" s="394"/>
      <c r="CA159" s="395"/>
      <c r="CB159" s="321"/>
      <c r="CC159" s="394"/>
      <c r="CD159" s="395"/>
      <c r="CE159" s="321"/>
      <c r="CF159" s="394"/>
      <c r="CG159" s="395"/>
      <c r="CH159" s="321"/>
      <c r="CI159" s="394"/>
      <c r="CJ159" s="395"/>
      <c r="CK159" s="396"/>
      <c r="CL159" s="393"/>
    </row>
    <row r="160" spans="2:90" s="299" customFormat="1" ht="128.25" x14ac:dyDescent="0.25">
      <c r="B160" s="1152"/>
      <c r="C160" s="1164"/>
      <c r="D160" s="332" t="str">
        <f>+'Plan de Accion 2018'!F132</f>
        <v xml:space="preserve">Atender las reclamaciones administrativas </v>
      </c>
      <c r="E160" s="1102"/>
      <c r="F160" s="356" t="str">
        <f>+'Plan de Accion 2018'!R132</f>
        <v># Reclamaciones administrativas atendidas en el periodo de acuerdo con los plazos establecidos (1 mes) / # Reclamaciones administrativas radicadas en la Entidad con una antelación de un mes a la finalización del periodo</v>
      </c>
      <c r="G160" s="335"/>
      <c r="H160" s="776">
        <f>+'Plan de Accion 2018'!AA132</f>
        <v>0.24621212121212122</v>
      </c>
      <c r="I160" s="777">
        <f>+'Plan de Accion 2018'!BL132</f>
        <v>0.98484848484848486</v>
      </c>
      <c r="J160" s="777">
        <f t="shared" si="36"/>
        <v>0.98484848484848486</v>
      </c>
      <c r="K160" s="777">
        <f>+'Plan de Accion 2018'!AE132</f>
        <v>0.24621212121212122</v>
      </c>
      <c r="L160" s="777">
        <f t="shared" si="37"/>
        <v>0.24621212121212122</v>
      </c>
      <c r="M160" s="1391">
        <f t="shared" si="38"/>
        <v>0.24621212121212122</v>
      </c>
      <c r="N160" s="887"/>
      <c r="O160" s="776">
        <f>+'Plan de Accion 2018'!AK132</f>
        <v>0.24390243902439024</v>
      </c>
      <c r="P160" s="777">
        <f>+'Plan de Accion 2018'!BN132</f>
        <v>0.97560975609756095</v>
      </c>
      <c r="Q160" s="870">
        <f t="shared" si="32"/>
        <v>0.97560975609756095</v>
      </c>
      <c r="R160" s="892">
        <f>+'Plan de Accion 2018'!AO132</f>
        <v>0.49011456023651145</v>
      </c>
      <c r="S160" s="892">
        <f t="shared" si="29"/>
        <v>0.49011456023651145</v>
      </c>
      <c r="T160" s="878">
        <f t="shared" si="33"/>
        <v>0.49011456023651145</v>
      </c>
      <c r="U160" s="336"/>
      <c r="V160" s="776">
        <f>+'Plan de Accion 2018'!AU132</f>
        <v>0</v>
      </c>
      <c r="W160" s="777">
        <f>+'Plan de Accion 2018'!BP132</f>
        <v>0</v>
      </c>
      <c r="X160" s="870">
        <f t="shared" si="34"/>
        <v>0</v>
      </c>
      <c r="Y160" s="777">
        <f>+'Plan de Accion 2018'!AY132</f>
        <v>0.49011456023651145</v>
      </c>
      <c r="Z160" s="892">
        <f t="shared" si="42"/>
        <v>0.49011456023651145</v>
      </c>
      <c r="AA160" s="878">
        <f t="shared" si="35"/>
        <v>0.49011456023651145</v>
      </c>
      <c r="AB160" s="336"/>
      <c r="AC160" s="330">
        <f>+'Plan de Accion 2018'!BE132</f>
        <v>0</v>
      </c>
      <c r="AD160" s="331">
        <f>+'Plan de Accion 2018'!BR132</f>
        <v>0</v>
      </c>
      <c r="AE160" s="870">
        <f t="shared" si="30"/>
        <v>0</v>
      </c>
      <c r="AF160" s="777">
        <f>+'Plan de Accion 2018'!BI132</f>
        <v>0.49011456023651145</v>
      </c>
      <c r="AG160" s="878">
        <f t="shared" si="31"/>
        <v>0.49011456023651145</v>
      </c>
      <c r="AH160" s="393"/>
      <c r="AI160" s="373"/>
      <c r="AJ160" s="394"/>
      <c r="AK160" s="395"/>
      <c r="AL160" s="321"/>
      <c r="AM160" s="394"/>
      <c r="AN160" s="395"/>
      <c r="AO160" s="321"/>
      <c r="AP160" s="394"/>
      <c r="AQ160" s="395"/>
      <c r="AR160" s="321"/>
      <c r="AS160" s="394"/>
      <c r="AT160" s="395"/>
      <c r="AU160" s="396"/>
      <c r="AV160" s="393"/>
      <c r="AW160" s="376"/>
      <c r="AX160" s="394"/>
      <c r="AY160" s="395"/>
      <c r="AZ160" s="321"/>
      <c r="BA160" s="394"/>
      <c r="BB160" s="395"/>
      <c r="BC160" s="321"/>
      <c r="BD160" s="394"/>
      <c r="BE160" s="395"/>
      <c r="BF160" s="321"/>
      <c r="BG160" s="394"/>
      <c r="BH160" s="395"/>
      <c r="BI160" s="396"/>
      <c r="BJ160" s="393"/>
      <c r="BL160" s="394"/>
      <c r="BM160" s="395"/>
      <c r="BN160" s="321"/>
      <c r="BO160" s="394"/>
      <c r="BP160" s="395"/>
      <c r="BQ160" s="321"/>
      <c r="BR160" s="394"/>
      <c r="BS160" s="395"/>
      <c r="BT160" s="321"/>
      <c r="BU160" s="394"/>
      <c r="BV160" s="395"/>
      <c r="BW160" s="396"/>
      <c r="BX160" s="393"/>
      <c r="BZ160" s="394"/>
      <c r="CA160" s="395"/>
      <c r="CB160" s="321"/>
      <c r="CC160" s="394"/>
      <c r="CD160" s="395"/>
      <c r="CE160" s="321"/>
      <c r="CF160" s="394"/>
      <c r="CG160" s="395"/>
      <c r="CH160" s="321"/>
      <c r="CI160" s="394"/>
      <c r="CJ160" s="395"/>
      <c r="CK160" s="396"/>
      <c r="CL160" s="393"/>
    </row>
    <row r="161" spans="2:90" s="299" customFormat="1" ht="99.75" x14ac:dyDescent="0.25">
      <c r="B161" s="1152"/>
      <c r="C161" s="1164"/>
      <c r="D161" s="332" t="str">
        <f>+'Plan de Accion 2018'!F133</f>
        <v>Recurrir los Actos Administrativos interpuestos por COLPENSIONES</v>
      </c>
      <c r="E161" s="1102"/>
      <c r="F161" s="356" t="str">
        <f>+'Plan de Accion 2018'!R133</f>
        <v># Recursos interpuestos oportunamente contra actos administrativos expedidos por Colpensiones / # Actos administrativos expedidos por Colpensiones notificados por aviso a la Entidad</v>
      </c>
      <c r="G161" s="335"/>
      <c r="H161" s="776">
        <f>+'Plan de Accion 2018'!AA133</f>
        <v>0.24251497005988024</v>
      </c>
      <c r="I161" s="777">
        <f>+'Plan de Accion 2018'!BL133</f>
        <v>0.97005988023952094</v>
      </c>
      <c r="J161" s="777">
        <f t="shared" si="36"/>
        <v>0.97005988023952094</v>
      </c>
      <c r="K161" s="777">
        <f>+'Plan de Accion 2018'!AE133</f>
        <v>0.24251497005988024</v>
      </c>
      <c r="L161" s="777">
        <f t="shared" si="37"/>
        <v>0.24251497005988024</v>
      </c>
      <c r="M161" s="1391">
        <f t="shared" si="38"/>
        <v>0.24251497005988024</v>
      </c>
      <c r="N161" s="887"/>
      <c r="O161" s="776">
        <f>+'Plan de Accion 2018'!AK133</f>
        <v>0.25</v>
      </c>
      <c r="P161" s="777">
        <f>+'Plan de Accion 2018'!BN133</f>
        <v>1</v>
      </c>
      <c r="Q161" s="870">
        <f t="shared" si="32"/>
        <v>1</v>
      </c>
      <c r="R161" s="892">
        <f>+'Plan de Accion 2018'!AO133</f>
        <v>0.49251497005988021</v>
      </c>
      <c r="S161" s="892">
        <f t="shared" si="29"/>
        <v>0.49251497005988021</v>
      </c>
      <c r="T161" s="878">
        <f t="shared" si="33"/>
        <v>0.49251497005988021</v>
      </c>
      <c r="U161" s="336"/>
      <c r="V161" s="776">
        <f>+'Plan de Accion 2018'!AU133</f>
        <v>0</v>
      </c>
      <c r="W161" s="777">
        <f>+'Plan de Accion 2018'!BP133</f>
        <v>0</v>
      </c>
      <c r="X161" s="870">
        <f t="shared" si="34"/>
        <v>0</v>
      </c>
      <c r="Y161" s="777">
        <f>+'Plan de Accion 2018'!AY133</f>
        <v>0.49251497005988021</v>
      </c>
      <c r="Z161" s="892">
        <f t="shared" si="42"/>
        <v>0.49251497005988021</v>
      </c>
      <c r="AA161" s="878">
        <f t="shared" si="35"/>
        <v>0.49251497005988021</v>
      </c>
      <c r="AB161" s="336"/>
      <c r="AC161" s="330">
        <f>+'Plan de Accion 2018'!BE133</f>
        <v>0</v>
      </c>
      <c r="AD161" s="331">
        <f>+'Plan de Accion 2018'!BR133</f>
        <v>0</v>
      </c>
      <c r="AE161" s="870">
        <f t="shared" si="30"/>
        <v>0</v>
      </c>
      <c r="AF161" s="777">
        <f>+'Plan de Accion 2018'!BI133</f>
        <v>0.49251497005988021</v>
      </c>
      <c r="AG161" s="878">
        <f t="shared" si="31"/>
        <v>0.49251497005988021</v>
      </c>
      <c r="AH161" s="393"/>
      <c r="AI161" s="373"/>
      <c r="AJ161" s="394"/>
      <c r="AK161" s="395"/>
      <c r="AL161" s="321"/>
      <c r="AM161" s="394"/>
      <c r="AN161" s="395"/>
      <c r="AO161" s="321"/>
      <c r="AP161" s="394"/>
      <c r="AQ161" s="395"/>
      <c r="AR161" s="321"/>
      <c r="AS161" s="394"/>
      <c r="AT161" s="395"/>
      <c r="AU161" s="396"/>
      <c r="AV161" s="393"/>
      <c r="AW161" s="376"/>
      <c r="AX161" s="394"/>
      <c r="AY161" s="395"/>
      <c r="AZ161" s="321"/>
      <c r="BA161" s="394"/>
      <c r="BB161" s="395"/>
      <c r="BC161" s="321"/>
      <c r="BD161" s="394"/>
      <c r="BE161" s="395"/>
      <c r="BF161" s="321"/>
      <c r="BG161" s="394"/>
      <c r="BH161" s="395"/>
      <c r="BI161" s="396"/>
      <c r="BJ161" s="393"/>
      <c r="BL161" s="394"/>
      <c r="BM161" s="395"/>
      <c r="BN161" s="321"/>
      <c r="BO161" s="394"/>
      <c r="BP161" s="395"/>
      <c r="BQ161" s="321"/>
      <c r="BR161" s="394"/>
      <c r="BS161" s="395"/>
      <c r="BT161" s="321"/>
      <c r="BU161" s="394"/>
      <c r="BV161" s="395"/>
      <c r="BW161" s="396"/>
      <c r="BX161" s="393"/>
      <c r="BZ161" s="394"/>
      <c r="CA161" s="395"/>
      <c r="CB161" s="321"/>
      <c r="CC161" s="394"/>
      <c r="CD161" s="395"/>
      <c r="CE161" s="321"/>
      <c r="CF161" s="394"/>
      <c r="CG161" s="395"/>
      <c r="CH161" s="321"/>
      <c r="CI161" s="394"/>
      <c r="CJ161" s="395"/>
      <c r="CK161" s="396"/>
      <c r="CL161" s="393"/>
    </row>
    <row r="162" spans="2:90" s="299" customFormat="1" ht="71.25" x14ac:dyDescent="0.25">
      <c r="B162" s="1152"/>
      <c r="C162" s="1164"/>
      <c r="D162" s="332" t="str">
        <f>+'Plan de Accion 2018'!F134</f>
        <v>Trámites de Embargos</v>
      </c>
      <c r="E162" s="1102"/>
      <c r="F162" s="356" t="str">
        <f>+'Plan de Accion 2018'!R134</f>
        <v># Solicitudes de embargo tramitadas oportunamente / # Solicitudes de embargo radicadas en la Entidad dentro del periodo</v>
      </c>
      <c r="G162" s="335"/>
      <c r="H162" s="776">
        <f>+'Plan de Accion 2018'!AA134</f>
        <v>0.25</v>
      </c>
      <c r="I162" s="777">
        <f>+'Plan de Accion 2018'!BL134</f>
        <v>1</v>
      </c>
      <c r="J162" s="777">
        <f t="shared" si="36"/>
        <v>1</v>
      </c>
      <c r="K162" s="777">
        <f>+'Plan de Accion 2018'!AE134</f>
        <v>0.25</v>
      </c>
      <c r="L162" s="777">
        <f t="shared" si="37"/>
        <v>0.25</v>
      </c>
      <c r="M162" s="1391">
        <f t="shared" si="38"/>
        <v>0.25</v>
      </c>
      <c r="N162" s="887"/>
      <c r="O162" s="776">
        <f>+'Plan de Accion 2018'!AK134</f>
        <v>0.25</v>
      </c>
      <c r="P162" s="777">
        <f>+'Plan de Accion 2018'!BN134</f>
        <v>1</v>
      </c>
      <c r="Q162" s="870">
        <f t="shared" si="32"/>
        <v>1</v>
      </c>
      <c r="R162" s="892">
        <f>+'Plan de Accion 2018'!AO134</f>
        <v>0.5</v>
      </c>
      <c r="S162" s="892">
        <f t="shared" si="29"/>
        <v>0.5</v>
      </c>
      <c r="T162" s="878">
        <f t="shared" si="33"/>
        <v>0.5</v>
      </c>
      <c r="U162" s="336"/>
      <c r="V162" s="776">
        <f>+'Plan de Accion 2018'!AU134</f>
        <v>0</v>
      </c>
      <c r="W162" s="777">
        <f>+'Plan de Accion 2018'!BP134</f>
        <v>0</v>
      </c>
      <c r="X162" s="870">
        <f t="shared" si="34"/>
        <v>0</v>
      </c>
      <c r="Y162" s="777">
        <f>+'Plan de Accion 2018'!AY134</f>
        <v>0.5</v>
      </c>
      <c r="Z162" s="892">
        <f t="shared" si="42"/>
        <v>0.5</v>
      </c>
      <c r="AA162" s="878">
        <f t="shared" si="35"/>
        <v>0.5</v>
      </c>
      <c r="AB162" s="336"/>
      <c r="AC162" s="330">
        <f>+'Plan de Accion 2018'!BE134</f>
        <v>0</v>
      </c>
      <c r="AD162" s="331">
        <f>+'Plan de Accion 2018'!BR134</f>
        <v>0</v>
      </c>
      <c r="AE162" s="870">
        <f t="shared" si="30"/>
        <v>0</v>
      </c>
      <c r="AF162" s="777">
        <f>+'Plan de Accion 2018'!BI134</f>
        <v>0.5</v>
      </c>
      <c r="AG162" s="878">
        <f t="shared" si="31"/>
        <v>0.5</v>
      </c>
      <c r="AH162" s="393"/>
      <c r="AI162" s="373"/>
      <c r="AJ162" s="394"/>
      <c r="AK162" s="395"/>
      <c r="AL162" s="321"/>
      <c r="AM162" s="394"/>
      <c r="AN162" s="395"/>
      <c r="AO162" s="321"/>
      <c r="AP162" s="394"/>
      <c r="AQ162" s="395"/>
      <c r="AR162" s="321"/>
      <c r="AS162" s="394"/>
      <c r="AT162" s="395"/>
      <c r="AU162" s="396"/>
      <c r="AV162" s="393"/>
      <c r="AW162" s="376"/>
      <c r="AX162" s="394"/>
      <c r="AY162" s="395"/>
      <c r="AZ162" s="321"/>
      <c r="BA162" s="394"/>
      <c r="BB162" s="395"/>
      <c r="BC162" s="321"/>
      <c r="BD162" s="394"/>
      <c r="BE162" s="395"/>
      <c r="BF162" s="321"/>
      <c r="BG162" s="394"/>
      <c r="BH162" s="395"/>
      <c r="BI162" s="396"/>
      <c r="BJ162" s="393"/>
      <c r="BL162" s="394"/>
      <c r="BM162" s="395"/>
      <c r="BN162" s="321"/>
      <c r="BO162" s="394"/>
      <c r="BP162" s="395"/>
      <c r="BQ162" s="321"/>
      <c r="BR162" s="394"/>
      <c r="BS162" s="395"/>
      <c r="BT162" s="321"/>
      <c r="BU162" s="394"/>
      <c r="BV162" s="395"/>
      <c r="BW162" s="396"/>
      <c r="BX162" s="393"/>
      <c r="BZ162" s="394"/>
      <c r="CA162" s="395"/>
      <c r="CB162" s="321"/>
      <c r="CC162" s="394"/>
      <c r="CD162" s="395"/>
      <c r="CE162" s="321"/>
      <c r="CF162" s="394"/>
      <c r="CG162" s="395"/>
      <c r="CH162" s="321"/>
      <c r="CI162" s="394"/>
      <c r="CJ162" s="395"/>
      <c r="CK162" s="396"/>
      <c r="CL162" s="393"/>
    </row>
    <row r="163" spans="2:90" s="299" customFormat="1" ht="85.5" x14ac:dyDescent="0.25">
      <c r="B163" s="1152"/>
      <c r="C163" s="1164"/>
      <c r="D163" s="1165" t="str">
        <f>+'Plan de Accion 2018'!F137</f>
        <v>Depuración de Cartera FOSYGA y/o ADRES</v>
      </c>
      <c r="E163" s="1102"/>
      <c r="F163" s="356" t="str">
        <f>+'Plan de Accion 2018'!R137</f>
        <v xml:space="preserve"># Reclamaciones Vendidas con mora mayor a 180 días / Reclamaciones contenidas actos administrativos ejecutoriados con mora mayor a 180 días </v>
      </c>
      <c r="G163" s="335"/>
      <c r="H163" s="776">
        <f>+'Plan de Accion 2018'!AA137</f>
        <v>0</v>
      </c>
      <c r="I163" s="777">
        <f>+'Plan de Accion 2018'!BL137</f>
        <v>0</v>
      </c>
      <c r="J163" s="777">
        <f t="shared" si="36"/>
        <v>0</v>
      </c>
      <c r="K163" s="777">
        <f>+'Plan de Accion 2018'!AE137</f>
        <v>0</v>
      </c>
      <c r="L163" s="777">
        <f t="shared" si="37"/>
        <v>0</v>
      </c>
      <c r="M163" s="1391">
        <f t="shared" si="38"/>
        <v>0</v>
      </c>
      <c r="N163" s="887"/>
      <c r="O163" s="776">
        <f>+'Plan de Accion 2018'!AK137</f>
        <v>0.47841409691629955</v>
      </c>
      <c r="P163" s="777">
        <f>+'Plan de Accion 2018'!BN137</f>
        <v>0.95682819383259909</v>
      </c>
      <c r="Q163" s="870">
        <f t="shared" si="32"/>
        <v>0.95682819383259909</v>
      </c>
      <c r="R163" s="892">
        <f>+'Plan de Accion 2018'!AO137</f>
        <v>0.47841409691629955</v>
      </c>
      <c r="S163" s="892">
        <f t="shared" si="29"/>
        <v>0.47841409691629955</v>
      </c>
      <c r="T163" s="878">
        <f t="shared" si="33"/>
        <v>0.47841409691629955</v>
      </c>
      <c r="U163" s="336"/>
      <c r="V163" s="776">
        <f>+'Plan de Accion 2018'!AU137</f>
        <v>0</v>
      </c>
      <c r="W163" s="777" t="str">
        <f>+'Plan de Accion 2018'!BP137</f>
        <v>No Prog ni Ejec</v>
      </c>
      <c r="X163" s="870" t="s">
        <v>792</v>
      </c>
      <c r="Y163" s="777">
        <f>+'Plan de Accion 2018'!AY137</f>
        <v>0.47841409691629955</v>
      </c>
      <c r="Z163" s="892">
        <f t="shared" si="42"/>
        <v>0.47841409691629955</v>
      </c>
      <c r="AA163" s="878">
        <f t="shared" si="35"/>
        <v>0.47841409691629955</v>
      </c>
      <c r="AB163" s="336"/>
      <c r="AC163" s="330">
        <f>+'Plan de Accion 2018'!BE137</f>
        <v>0</v>
      </c>
      <c r="AD163" s="331" t="str">
        <f>+'Plan de Accion 2018'!BR137</f>
        <v>No Prog ni Ejec</v>
      </c>
      <c r="AE163" s="870" t="s">
        <v>792</v>
      </c>
      <c r="AF163" s="777">
        <f>+'Plan de Accion 2018'!BI137</f>
        <v>0.47841409691629955</v>
      </c>
      <c r="AG163" s="878">
        <f t="shared" si="31"/>
        <v>0.47841409691629955</v>
      </c>
      <c r="AH163" s="393"/>
      <c r="AI163" s="373"/>
      <c r="AJ163" s="394"/>
      <c r="AK163" s="395"/>
      <c r="AL163" s="321"/>
      <c r="AM163" s="394"/>
      <c r="AN163" s="395"/>
      <c r="AO163" s="321"/>
      <c r="AP163" s="394"/>
      <c r="AQ163" s="395"/>
      <c r="AR163" s="321"/>
      <c r="AS163" s="394"/>
      <c r="AT163" s="395"/>
      <c r="AU163" s="396"/>
      <c r="AV163" s="393"/>
      <c r="AW163" s="376"/>
      <c r="AX163" s="394"/>
      <c r="AY163" s="395"/>
      <c r="AZ163" s="321"/>
      <c r="BA163" s="394"/>
      <c r="BB163" s="395"/>
      <c r="BC163" s="321"/>
      <c r="BD163" s="394"/>
      <c r="BE163" s="395"/>
      <c r="BF163" s="321"/>
      <c r="BG163" s="394"/>
      <c r="BH163" s="395"/>
      <c r="BI163" s="396"/>
      <c r="BJ163" s="393"/>
      <c r="BL163" s="394"/>
      <c r="BM163" s="395"/>
      <c r="BN163" s="321"/>
      <c r="BO163" s="394"/>
      <c r="BP163" s="395"/>
      <c r="BQ163" s="321"/>
      <c r="BR163" s="394"/>
      <c r="BS163" s="395"/>
      <c r="BT163" s="321"/>
      <c r="BU163" s="394"/>
      <c r="BV163" s="395"/>
      <c r="BW163" s="396"/>
      <c r="BX163" s="393"/>
      <c r="BZ163" s="394"/>
      <c r="CA163" s="395"/>
      <c r="CB163" s="321"/>
      <c r="CC163" s="394"/>
      <c r="CD163" s="395"/>
      <c r="CE163" s="321"/>
      <c r="CF163" s="394"/>
      <c r="CG163" s="395"/>
      <c r="CH163" s="321"/>
      <c r="CI163" s="394"/>
      <c r="CJ163" s="395"/>
      <c r="CK163" s="396"/>
      <c r="CL163" s="393"/>
    </row>
    <row r="164" spans="2:90" s="299" customFormat="1" ht="71.25" x14ac:dyDescent="0.2">
      <c r="B164" s="1152"/>
      <c r="C164" s="1164"/>
      <c r="D164" s="1104"/>
      <c r="E164" s="1102"/>
      <c r="F164" s="356" t="str">
        <f>+'Plan de Accion 2018'!R139</f>
        <v># de actos administrativos proferidos / # fallecidos, incobrables, cancelados y revocados resultado del proceso de depuración</v>
      </c>
      <c r="G164" s="298"/>
      <c r="H164" s="776">
        <f>+'Plan de Accion 2018'!AA139</f>
        <v>0</v>
      </c>
      <c r="I164" s="777">
        <f>+'Plan de Accion 2018'!BL139</f>
        <v>0</v>
      </c>
      <c r="J164" s="777">
        <f t="shared" si="36"/>
        <v>0</v>
      </c>
      <c r="K164" s="777">
        <f>+'Plan de Accion 2018'!AE139</f>
        <v>0</v>
      </c>
      <c r="L164" s="777">
        <f t="shared" si="37"/>
        <v>0</v>
      </c>
      <c r="M164" s="1391">
        <f t="shared" si="38"/>
        <v>0</v>
      </c>
      <c r="N164" s="887"/>
      <c r="O164" s="776">
        <f>+'Plan de Accion 2018'!AK139</f>
        <v>0.25</v>
      </c>
      <c r="P164" s="777">
        <f>+'Plan de Accion 2018'!BN139</f>
        <v>1</v>
      </c>
      <c r="Q164" s="870">
        <f t="shared" si="32"/>
        <v>1</v>
      </c>
      <c r="R164" s="892">
        <f>+'Plan de Accion 2018'!AO139</f>
        <v>0.25</v>
      </c>
      <c r="S164" s="892">
        <f t="shared" si="29"/>
        <v>0.25</v>
      </c>
      <c r="T164" s="878">
        <f t="shared" si="33"/>
        <v>0.25</v>
      </c>
      <c r="U164" s="336"/>
      <c r="V164" s="776">
        <f>+'Plan de Accion 2018'!AU139</f>
        <v>0</v>
      </c>
      <c r="W164" s="777">
        <f>+'Plan de Accion 2018'!BP139</f>
        <v>0</v>
      </c>
      <c r="X164" s="870">
        <f t="shared" si="34"/>
        <v>0</v>
      </c>
      <c r="Y164" s="777">
        <f>+'Plan de Accion 2018'!AY139</f>
        <v>0.25</v>
      </c>
      <c r="Z164" s="892">
        <f t="shared" si="42"/>
        <v>0.25</v>
      </c>
      <c r="AA164" s="878">
        <f t="shared" si="35"/>
        <v>0.25</v>
      </c>
      <c r="AB164" s="336"/>
      <c r="AC164" s="330">
        <f>+'Plan de Accion 2018'!BE139</f>
        <v>0</v>
      </c>
      <c r="AD164" s="331">
        <f>+'Plan de Accion 2018'!BR139</f>
        <v>0</v>
      </c>
      <c r="AE164" s="870">
        <f t="shared" si="30"/>
        <v>0</v>
      </c>
      <c r="AF164" s="777">
        <f>+'Plan de Accion 2018'!BI139</f>
        <v>0.25</v>
      </c>
      <c r="AG164" s="878">
        <f t="shared" si="31"/>
        <v>0.25</v>
      </c>
      <c r="AH164" s="393"/>
      <c r="AI164" s="373"/>
      <c r="AJ164" s="394"/>
      <c r="AK164" s="395"/>
      <c r="AL164" s="321"/>
      <c r="AM164" s="394"/>
      <c r="AN164" s="395"/>
      <c r="AO164" s="321"/>
      <c r="AP164" s="394"/>
      <c r="AQ164" s="395"/>
      <c r="AR164" s="321"/>
      <c r="AS164" s="394"/>
      <c r="AT164" s="395"/>
      <c r="AU164" s="396"/>
      <c r="AV164" s="393"/>
      <c r="AW164" s="376"/>
      <c r="AX164" s="394"/>
      <c r="AY164" s="395"/>
      <c r="AZ164" s="321"/>
      <c r="BA164" s="394"/>
      <c r="BB164" s="395"/>
      <c r="BC164" s="321"/>
      <c r="BD164" s="394"/>
      <c r="BE164" s="395"/>
      <c r="BF164" s="321"/>
      <c r="BG164" s="394"/>
      <c r="BH164" s="395"/>
      <c r="BI164" s="396"/>
      <c r="BJ164" s="393"/>
      <c r="BL164" s="394"/>
      <c r="BM164" s="395"/>
      <c r="BN164" s="321"/>
      <c r="BO164" s="394"/>
      <c r="BP164" s="395"/>
      <c r="BQ164" s="321"/>
      <c r="BR164" s="394"/>
      <c r="BS164" s="395"/>
      <c r="BT164" s="321"/>
      <c r="BU164" s="394"/>
      <c r="BV164" s="395"/>
      <c r="BW164" s="396"/>
      <c r="BX164" s="393"/>
      <c r="BZ164" s="394"/>
      <c r="CA164" s="395"/>
      <c r="CB164" s="321"/>
      <c r="CC164" s="394"/>
      <c r="CD164" s="395"/>
      <c r="CE164" s="321"/>
      <c r="CF164" s="394"/>
      <c r="CG164" s="395"/>
      <c r="CH164" s="321"/>
      <c r="CI164" s="394"/>
      <c r="CJ164" s="395"/>
      <c r="CK164" s="396"/>
      <c r="CL164" s="393"/>
    </row>
    <row r="165" spans="2:90" s="299" customFormat="1" ht="71.25" x14ac:dyDescent="0.2">
      <c r="B165" s="1152"/>
      <c r="C165" s="1164"/>
      <c r="D165" s="1104"/>
      <c r="E165" s="1102"/>
      <c r="F165" s="356" t="str">
        <f>+'Plan de Accion 2018'!R146</f>
        <v># Actos Administrativos Expedidos / # Reclamaciones Pagadas por concepto de accidentes de transito sin SOAT</v>
      </c>
      <c r="G165" s="298"/>
      <c r="H165" s="776">
        <f>+'Plan de Accion 2018'!AA146</f>
        <v>0.16825000000000001</v>
      </c>
      <c r="I165" s="777">
        <f>+'Plan de Accion 2018'!BL146</f>
        <v>1.6825000000000001</v>
      </c>
      <c r="J165" s="777">
        <f t="shared" si="36"/>
        <v>1</v>
      </c>
      <c r="K165" s="777">
        <f>+'Plan de Accion 2018'!AE146</f>
        <v>0.16825000000000001</v>
      </c>
      <c r="L165" s="777">
        <f t="shared" si="37"/>
        <v>0.16825000000000001</v>
      </c>
      <c r="M165" s="1391">
        <f t="shared" si="38"/>
        <v>0.16825000000000001</v>
      </c>
      <c r="N165" s="887">
        <v>1</v>
      </c>
      <c r="O165" s="776">
        <f>+'Plan de Accion 2018'!AK146</f>
        <v>0.31524999999999997</v>
      </c>
      <c r="P165" s="777">
        <f>+'Plan de Accion 2018'!BN146</f>
        <v>1.0508333333333333</v>
      </c>
      <c r="Q165" s="870">
        <f t="shared" si="32"/>
        <v>1</v>
      </c>
      <c r="R165" s="892">
        <f>+'Plan de Accion 2018'!AO146</f>
        <v>0.48349999999999999</v>
      </c>
      <c r="S165" s="892">
        <f t="shared" si="29"/>
        <v>0.48349999999999999</v>
      </c>
      <c r="T165" s="878">
        <f t="shared" si="33"/>
        <v>0.48349999999999999</v>
      </c>
      <c r="U165" s="887">
        <v>1</v>
      </c>
      <c r="V165" s="776">
        <f>+'Plan de Accion 2018'!AU146</f>
        <v>0</v>
      </c>
      <c r="W165" s="777">
        <f>+'Plan de Accion 2018'!BP146</f>
        <v>0</v>
      </c>
      <c r="X165" s="870">
        <f t="shared" si="34"/>
        <v>0</v>
      </c>
      <c r="Y165" s="777">
        <f>+'Plan de Accion 2018'!AY146</f>
        <v>0.48349999999999999</v>
      </c>
      <c r="Z165" s="892">
        <f t="shared" si="42"/>
        <v>0.48349999999999999</v>
      </c>
      <c r="AA165" s="878">
        <f t="shared" si="35"/>
        <v>0.48349999999999999</v>
      </c>
      <c r="AB165" s="336"/>
      <c r="AC165" s="330">
        <f>+'Plan de Accion 2018'!BE146</f>
        <v>0</v>
      </c>
      <c r="AD165" s="331">
        <f>+'Plan de Accion 2018'!BR146</f>
        <v>0</v>
      </c>
      <c r="AE165" s="870">
        <f t="shared" si="30"/>
        <v>0</v>
      </c>
      <c r="AF165" s="777">
        <f>+'Plan de Accion 2018'!BI146</f>
        <v>0.48349999999999999</v>
      </c>
      <c r="AG165" s="878">
        <f t="shared" si="31"/>
        <v>0.48349999999999999</v>
      </c>
      <c r="AH165" s="393"/>
      <c r="AI165" s="373"/>
      <c r="AJ165" s="394"/>
      <c r="AK165" s="395"/>
      <c r="AL165" s="321"/>
      <c r="AM165" s="394"/>
      <c r="AN165" s="395"/>
      <c r="AO165" s="321"/>
      <c r="AP165" s="394"/>
      <c r="AQ165" s="395"/>
      <c r="AR165" s="321"/>
      <c r="AS165" s="394"/>
      <c r="AT165" s="395"/>
      <c r="AU165" s="396"/>
      <c r="AV165" s="393"/>
      <c r="AW165" s="376"/>
      <c r="AX165" s="394"/>
      <c r="AY165" s="395"/>
      <c r="AZ165" s="321"/>
      <c r="BA165" s="394"/>
      <c r="BB165" s="395"/>
      <c r="BC165" s="321"/>
      <c r="BD165" s="394"/>
      <c r="BE165" s="395"/>
      <c r="BF165" s="321"/>
      <c r="BG165" s="394"/>
      <c r="BH165" s="395"/>
      <c r="BI165" s="396"/>
      <c r="BJ165" s="393"/>
      <c r="BL165" s="394"/>
      <c r="BM165" s="395"/>
      <c r="BN165" s="321"/>
      <c r="BO165" s="394"/>
      <c r="BP165" s="395"/>
      <c r="BQ165" s="321"/>
      <c r="BR165" s="394"/>
      <c r="BS165" s="395"/>
      <c r="BT165" s="321"/>
      <c r="BU165" s="394"/>
      <c r="BV165" s="395"/>
      <c r="BW165" s="396"/>
      <c r="BX165" s="393"/>
      <c r="BZ165" s="394"/>
      <c r="CA165" s="395"/>
      <c r="CB165" s="321"/>
      <c r="CC165" s="394"/>
      <c r="CD165" s="395"/>
      <c r="CE165" s="321"/>
      <c r="CF165" s="394"/>
      <c r="CG165" s="395"/>
      <c r="CH165" s="321"/>
      <c r="CI165" s="394"/>
      <c r="CJ165" s="395"/>
      <c r="CK165" s="396"/>
      <c r="CL165" s="393"/>
    </row>
    <row r="166" spans="2:90" s="299" customFormat="1" ht="43.5" thickBot="1" x14ac:dyDescent="0.25">
      <c r="B166" s="1152"/>
      <c r="C166" s="1164"/>
      <c r="D166" s="1166"/>
      <c r="E166" s="1102"/>
      <c r="F166" s="397" t="str">
        <f>+'Plan de Accion 2018'!R148</f>
        <v># Mandamientos de Pago / # de Actos Administrativos Ejecutoriados</v>
      </c>
      <c r="H166" s="340">
        <f>+'Plan de Accion 2018'!AA148</f>
        <v>0</v>
      </c>
      <c r="I166" s="928" t="str">
        <f>+'Plan de Accion 2018'!BL148</f>
        <v>No Prog ni Ejec</v>
      </c>
      <c r="J166" s="928" t="s">
        <v>792</v>
      </c>
      <c r="K166" s="928">
        <f>+'Plan de Accion 2018'!AE148</f>
        <v>0</v>
      </c>
      <c r="L166" s="928">
        <f t="shared" si="37"/>
        <v>0</v>
      </c>
      <c r="M166" s="930" t="s">
        <v>792</v>
      </c>
      <c r="N166" s="887"/>
      <c r="O166" s="340">
        <f>+'Plan de Accion 2018'!AK148</f>
        <v>0</v>
      </c>
      <c r="P166" s="890" t="str">
        <f>+'Plan de Accion 2018'!BN148</f>
        <v>No Prog ni Ejec</v>
      </c>
      <c r="Q166" s="872" t="s">
        <v>792</v>
      </c>
      <c r="R166" s="892">
        <f>+'Plan de Accion 2018'!AO148</f>
        <v>0</v>
      </c>
      <c r="S166" s="891">
        <f t="shared" si="29"/>
        <v>0</v>
      </c>
      <c r="T166" s="878" t="s">
        <v>792</v>
      </c>
      <c r="U166" s="336"/>
      <c r="V166" s="340">
        <f>+'Plan de Accion 2018'!AU148</f>
        <v>0</v>
      </c>
      <c r="W166" s="890">
        <f>+'Plan de Accion 2018'!BP148</f>
        <v>0</v>
      </c>
      <c r="X166" s="870">
        <f t="shared" si="34"/>
        <v>0</v>
      </c>
      <c r="Y166" s="890">
        <f>+'Plan de Accion 2018'!AY148</f>
        <v>0</v>
      </c>
      <c r="Z166" s="892">
        <f t="shared" si="42"/>
        <v>0</v>
      </c>
      <c r="AA166" s="878">
        <f t="shared" si="35"/>
        <v>0</v>
      </c>
      <c r="AB166" s="336"/>
      <c r="AC166" s="340">
        <f>+'Plan de Accion 2018'!BE148</f>
        <v>0</v>
      </c>
      <c r="AD166" s="341">
        <f>+'Plan de Accion 2018'!BR148</f>
        <v>0</v>
      </c>
      <c r="AE166" s="870">
        <f t="shared" si="30"/>
        <v>0</v>
      </c>
      <c r="AF166" s="885">
        <f>+'Plan de Accion 2018'!BI148</f>
        <v>0</v>
      </c>
      <c r="AG166" s="878">
        <f t="shared" si="31"/>
        <v>0</v>
      </c>
      <c r="AH166" s="393"/>
      <c r="AI166" s="373"/>
      <c r="AJ166" s="394"/>
      <c r="AK166" s="395"/>
      <c r="AL166" s="321"/>
      <c r="AM166" s="394"/>
      <c r="AN166" s="395"/>
      <c r="AO166" s="321"/>
      <c r="AP166" s="394"/>
      <c r="AQ166" s="395"/>
      <c r="AR166" s="321"/>
      <c r="AS166" s="394"/>
      <c r="AT166" s="395"/>
      <c r="AU166" s="396"/>
      <c r="AV166" s="393"/>
      <c r="AW166" s="376"/>
      <c r="AX166" s="394"/>
      <c r="AY166" s="395"/>
      <c r="AZ166" s="321"/>
      <c r="BA166" s="394"/>
      <c r="BB166" s="395"/>
      <c r="BC166" s="321"/>
      <c r="BD166" s="394"/>
      <c r="BE166" s="395"/>
      <c r="BF166" s="321"/>
      <c r="BG166" s="394"/>
      <c r="BH166" s="395"/>
      <c r="BI166" s="396"/>
      <c r="BJ166" s="393"/>
      <c r="BL166" s="394"/>
      <c r="BM166" s="395"/>
      <c r="BN166" s="321"/>
      <c r="BO166" s="394"/>
      <c r="BP166" s="395"/>
      <c r="BQ166" s="321"/>
      <c r="BR166" s="394"/>
      <c r="BS166" s="395"/>
      <c r="BT166" s="321"/>
      <c r="BU166" s="394"/>
      <c r="BV166" s="395"/>
      <c r="BW166" s="396"/>
      <c r="BX166" s="393"/>
      <c r="BZ166" s="394"/>
      <c r="CA166" s="395"/>
      <c r="CB166" s="321"/>
      <c r="CC166" s="394"/>
      <c r="CD166" s="395"/>
      <c r="CE166" s="321"/>
      <c r="CF166" s="394"/>
      <c r="CG166" s="395"/>
      <c r="CH166" s="321"/>
      <c r="CI166" s="394"/>
      <c r="CJ166" s="395"/>
      <c r="CK166" s="396"/>
      <c r="CL166" s="393"/>
    </row>
    <row r="167" spans="2:90" s="299" customFormat="1" ht="33" customHeight="1" thickBot="1" x14ac:dyDescent="0.25">
      <c r="B167" s="1157"/>
      <c r="C167" s="1180" t="s">
        <v>816</v>
      </c>
      <c r="D167" s="1181"/>
      <c r="E167" s="1181"/>
      <c r="F167" s="1182"/>
      <c r="H167" s="358" t="s">
        <v>792</v>
      </c>
      <c r="I167" s="344">
        <f>SUM(I156:I166)/COUNT(I156:I166)</f>
        <v>0.78661022183273144</v>
      </c>
      <c r="J167" s="344">
        <f t="shared" si="36"/>
        <v>0.78661022183273144</v>
      </c>
      <c r="K167" s="344">
        <f>SUM(K156:K166)/COUNT(K156:K166)</f>
        <v>0.15583186859834805</v>
      </c>
      <c r="L167" s="344">
        <f t="shared" ref="L167:M167" si="43">SUM(L156:L166)/COUNT(L156:L166)</f>
        <v>0.15583186859834805</v>
      </c>
      <c r="M167" s="346">
        <f t="shared" si="43"/>
        <v>0.17141505545818286</v>
      </c>
      <c r="N167" s="1410"/>
      <c r="O167" s="358" t="s">
        <v>792</v>
      </c>
      <c r="P167" s="876">
        <f>SUM(P156:P166)/COUNT(P156:P166)</f>
        <v>0.91059168712916327</v>
      </c>
      <c r="Q167" s="876">
        <f>SUM(Q156:Q166)/COUNT(Q156:Q166)</f>
        <v>0.90550835379582995</v>
      </c>
      <c r="R167" s="880">
        <f>SUM(R156:R166)/COUNT(R156:R166)</f>
        <v>0.38930713522995936</v>
      </c>
      <c r="S167" s="918">
        <f>SUM(S156:S166)/COUNT(S156:S166)</f>
        <v>0.38930713522995936</v>
      </c>
      <c r="T167" s="888">
        <f>SUM(T156:T166)/COUNT(T156:T166)</f>
        <v>0.42823784875295534</v>
      </c>
      <c r="U167" s="398"/>
      <c r="V167" s="358" t="s">
        <v>792</v>
      </c>
      <c r="W167" s="344">
        <f ca="1">SUM(W156:W216)/COUNT(W156:W216)</f>
        <v>0</v>
      </c>
      <c r="X167" s="344">
        <f ca="1">SUM(X156:X216)/COUNT(X156:X216)</f>
        <v>0</v>
      </c>
      <c r="Y167" s="876">
        <f>SUM(Y156:Y166)/COUNT(Y156:Y166)</f>
        <v>0.38930713522995936</v>
      </c>
      <c r="Z167" s="344">
        <f>SUM(Z156:Z166)/COUNT(Z156:Z166)</f>
        <v>0.38930713522995936</v>
      </c>
      <c r="AA167" s="346">
        <f>SUM(AA156:AA166)/COUNT(AA156:AA166)</f>
        <v>0.38930713522995936</v>
      </c>
      <c r="AB167" s="398"/>
      <c r="AC167" s="358" t="s">
        <v>792</v>
      </c>
      <c r="AD167" s="344">
        <f ca="1">SUM(AD156:AD216)/COUNT(AD156:AD216)</f>
        <v>0</v>
      </c>
      <c r="AE167" s="344">
        <f ca="1">SUM(AE156:AE216)/COUNT(AE156:AE216)</f>
        <v>0</v>
      </c>
      <c r="AF167" s="876">
        <f>SUM(AF156:AF166)/COUNT(AF156:AF166)</f>
        <v>0.38930713522995936</v>
      </c>
      <c r="AG167" s="346">
        <f>SUM(AG156:AG166)/COUNT(AG156:AG166)</f>
        <v>0.38930713522995936</v>
      </c>
      <c r="AH167" s="393"/>
      <c r="AI167" s="373"/>
      <c r="AJ167" s="394"/>
      <c r="AK167" s="395"/>
      <c r="AL167" s="321"/>
      <c r="AM167" s="394"/>
      <c r="AN167" s="395"/>
      <c r="AO167" s="321"/>
      <c r="AP167" s="394"/>
      <c r="AQ167" s="395"/>
      <c r="AR167" s="321"/>
      <c r="AS167" s="394"/>
      <c r="AT167" s="395"/>
      <c r="AU167" s="396"/>
      <c r="AV167" s="393"/>
      <c r="AW167" s="376"/>
      <c r="AX167" s="394"/>
      <c r="AY167" s="395"/>
      <c r="AZ167" s="321"/>
      <c r="BA167" s="394"/>
      <c r="BB167" s="395"/>
      <c r="BC167" s="321"/>
      <c r="BD167" s="394"/>
      <c r="BE167" s="395"/>
      <c r="BF167" s="321"/>
      <c r="BG167" s="394"/>
      <c r="BH167" s="395"/>
      <c r="BI167" s="396"/>
      <c r="BJ167" s="393"/>
      <c r="BL167" s="394"/>
      <c r="BM167" s="395"/>
      <c r="BN167" s="321"/>
      <c r="BO167" s="394"/>
      <c r="BP167" s="395"/>
      <c r="BQ167" s="321"/>
      <c r="BR167" s="394"/>
      <c r="BS167" s="395"/>
      <c r="BT167" s="321"/>
      <c r="BU167" s="394"/>
      <c r="BV167" s="395"/>
      <c r="BW167" s="396"/>
      <c r="BX167" s="393"/>
      <c r="BZ167" s="394"/>
      <c r="CA167" s="395"/>
      <c r="CB167" s="321"/>
      <c r="CC167" s="394"/>
      <c r="CD167" s="395"/>
      <c r="CE167" s="321"/>
      <c r="CF167" s="394"/>
      <c r="CG167" s="395"/>
      <c r="CH167" s="321"/>
      <c r="CI167" s="394"/>
      <c r="CJ167" s="395"/>
      <c r="CK167" s="396"/>
      <c r="CL167" s="393"/>
    </row>
    <row r="168" spans="2:90" s="299" customFormat="1" ht="19.5" x14ac:dyDescent="0.25">
      <c r="B168" s="1152"/>
      <c r="C168" s="1164" t="s">
        <v>153</v>
      </c>
      <c r="D168" s="1102" t="str">
        <f>+'Plan de Accion 2018'!F8</f>
        <v>Reporte Trimestral del Avance del PA</v>
      </c>
      <c r="E168" s="360" t="str">
        <f>+'Plan de Accion 2018'!B8</f>
        <v>Dirección General</v>
      </c>
      <c r="F168" s="399" t="str">
        <f>+'Plan de Accion 2018'!R8</f>
        <v># Informes reportados</v>
      </c>
      <c r="G168" s="335"/>
      <c r="H168" s="782">
        <f>+'Plan de Accion 2018'!AA8</f>
        <v>1</v>
      </c>
      <c r="I168" s="929">
        <f>+'Plan de Accion 2018'!BL8</f>
        <v>1</v>
      </c>
      <c r="J168" s="929">
        <f t="shared" si="36"/>
        <v>1</v>
      </c>
      <c r="K168" s="929">
        <f>+'Plan de Accion 2018'!AE8</f>
        <v>0.25</v>
      </c>
      <c r="L168" s="929">
        <f t="shared" si="37"/>
        <v>0.25</v>
      </c>
      <c r="M168" s="931">
        <f t="shared" si="38"/>
        <v>0.25</v>
      </c>
      <c r="N168" s="887"/>
      <c r="O168" s="782">
        <f>+'Plan de Accion 2018'!AK8</f>
        <v>1</v>
      </c>
      <c r="P168" s="892">
        <f>+'Plan de Accion 2018'!BN8</f>
        <v>1</v>
      </c>
      <c r="Q168" s="870">
        <f t="shared" si="32"/>
        <v>1</v>
      </c>
      <c r="R168" s="892">
        <f>+'Plan de Accion 2018'!AO8</f>
        <v>0.5</v>
      </c>
      <c r="S168" s="892">
        <f t="shared" si="29"/>
        <v>0.5</v>
      </c>
      <c r="T168" s="878">
        <f t="shared" si="33"/>
        <v>0.5</v>
      </c>
      <c r="U168" s="336"/>
      <c r="V168" s="782">
        <f>+'Plan de Accion 2018'!AU8</f>
        <v>0</v>
      </c>
      <c r="W168" s="892">
        <f>+'Plan de Accion 2018'!BP8</f>
        <v>0</v>
      </c>
      <c r="X168" s="870">
        <f t="shared" si="34"/>
        <v>0</v>
      </c>
      <c r="Y168" s="892">
        <f>+'Plan de Accion 2018'!AY8</f>
        <v>0.5</v>
      </c>
      <c r="Z168" s="892">
        <f t="shared" ref="Z168:Z176" si="44">IF(Y168&gt;75%,75%,Y168)</f>
        <v>0.5</v>
      </c>
      <c r="AA168" s="878">
        <f t="shared" si="35"/>
        <v>0.5</v>
      </c>
      <c r="AB168" s="336"/>
      <c r="AC168" s="782">
        <f>+'Plan de Accion 2018'!BE8</f>
        <v>0</v>
      </c>
      <c r="AD168" s="323">
        <f>+'Plan de Accion 2018'!BR8</f>
        <v>0</v>
      </c>
      <c r="AE168" s="870">
        <f t="shared" si="30"/>
        <v>0</v>
      </c>
      <c r="AF168" s="886">
        <f>+'Plan de Accion 2018'!BI8</f>
        <v>0.5</v>
      </c>
      <c r="AG168" s="878">
        <f t="shared" si="31"/>
        <v>0.5</v>
      </c>
      <c r="AH168" s="393"/>
      <c r="AI168" s="373"/>
      <c r="AJ168" s="394"/>
      <c r="AK168" s="395"/>
      <c r="AL168" s="321"/>
      <c r="AM168" s="394"/>
      <c r="AN168" s="395"/>
      <c r="AO168" s="321"/>
      <c r="AP168" s="394"/>
      <c r="AQ168" s="395"/>
      <c r="AR168" s="321"/>
      <c r="AS168" s="394"/>
      <c r="AT168" s="395"/>
      <c r="AU168" s="396"/>
      <c r="AV168" s="393"/>
      <c r="AW168" s="376"/>
      <c r="AX168" s="394"/>
      <c r="AY168" s="395"/>
      <c r="AZ168" s="321"/>
      <c r="BA168" s="394"/>
      <c r="BB168" s="395"/>
      <c r="BC168" s="321"/>
      <c r="BD168" s="394"/>
      <c r="BE168" s="395"/>
      <c r="BF168" s="321"/>
      <c r="BG168" s="394"/>
      <c r="BH168" s="395"/>
      <c r="BI168" s="396"/>
      <c r="BJ168" s="393"/>
      <c r="BL168" s="394"/>
      <c r="BM168" s="395"/>
      <c r="BN168" s="321"/>
      <c r="BO168" s="394"/>
      <c r="BP168" s="395"/>
      <c r="BQ168" s="321"/>
      <c r="BR168" s="394"/>
      <c r="BS168" s="395"/>
      <c r="BT168" s="321"/>
      <c r="BU168" s="394"/>
      <c r="BV168" s="395"/>
      <c r="BW168" s="396"/>
      <c r="BX168" s="393"/>
      <c r="BZ168" s="394"/>
      <c r="CA168" s="395"/>
      <c r="CB168" s="321"/>
      <c r="CC168" s="394"/>
      <c r="CD168" s="395"/>
      <c r="CE168" s="321"/>
      <c r="CF168" s="394"/>
      <c r="CG168" s="395"/>
      <c r="CH168" s="321"/>
      <c r="CI168" s="394"/>
      <c r="CJ168" s="395"/>
      <c r="CK168" s="396"/>
      <c r="CL168" s="393"/>
    </row>
    <row r="169" spans="2:90" s="299" customFormat="1" ht="42.75" x14ac:dyDescent="0.25">
      <c r="B169" s="1152"/>
      <c r="C169" s="1164"/>
      <c r="D169" s="1102"/>
      <c r="E169" s="332" t="str">
        <f>+'Plan de Accion 2018'!B12</f>
        <v>Dirección de Gestión de Recursos Financieros de Salud</v>
      </c>
      <c r="F169" s="333" t="str">
        <f>+'Plan de Accion 2018'!R12</f>
        <v># Informes reportados</v>
      </c>
      <c r="G169" s="335"/>
      <c r="H169" s="780">
        <f>+'Plan de Accion 2018'!AA12</f>
        <v>1</v>
      </c>
      <c r="I169" s="777">
        <f>+'Plan de Accion 2018'!BL12</f>
        <v>1</v>
      </c>
      <c r="J169" s="777">
        <f t="shared" si="36"/>
        <v>1</v>
      </c>
      <c r="K169" s="777">
        <f>+'Plan de Accion 2018'!AE12</f>
        <v>0.25</v>
      </c>
      <c r="L169" s="777">
        <f t="shared" si="37"/>
        <v>0.25</v>
      </c>
      <c r="M169" s="1391">
        <f t="shared" si="38"/>
        <v>0.25</v>
      </c>
      <c r="N169" s="887"/>
      <c r="O169" s="780">
        <f>+'Plan de Accion 2018'!AK12</f>
        <v>1</v>
      </c>
      <c r="P169" s="777">
        <f>+'Plan de Accion 2018'!BN12</f>
        <v>1</v>
      </c>
      <c r="Q169" s="870">
        <f t="shared" si="32"/>
        <v>1</v>
      </c>
      <c r="R169" s="892">
        <f>+'Plan de Accion 2018'!AO12</f>
        <v>0.5</v>
      </c>
      <c r="S169" s="892">
        <f t="shared" si="29"/>
        <v>0.5</v>
      </c>
      <c r="T169" s="878">
        <f t="shared" si="33"/>
        <v>0.5</v>
      </c>
      <c r="U169" s="336"/>
      <c r="V169" s="780">
        <f>+'Plan de Accion 2018'!AU12</f>
        <v>0</v>
      </c>
      <c r="W169" s="777">
        <f>+'Plan de Accion 2018'!BP12</f>
        <v>0</v>
      </c>
      <c r="X169" s="870">
        <f t="shared" si="34"/>
        <v>0</v>
      </c>
      <c r="Y169" s="777">
        <f>+'Plan de Accion 2018'!AY12</f>
        <v>0.5</v>
      </c>
      <c r="Z169" s="892">
        <f t="shared" si="44"/>
        <v>0.5</v>
      </c>
      <c r="AA169" s="878">
        <f t="shared" si="35"/>
        <v>0.5</v>
      </c>
      <c r="AB169" s="336"/>
      <c r="AC169" s="780">
        <f>+'Plan de Accion 2018'!BE12</f>
        <v>0</v>
      </c>
      <c r="AD169" s="331">
        <f>+'Plan de Accion 2018'!BR12</f>
        <v>0</v>
      </c>
      <c r="AE169" s="870">
        <f t="shared" si="30"/>
        <v>0</v>
      </c>
      <c r="AF169" s="777">
        <f>+'Plan de Accion 2018'!BI12</f>
        <v>0.5</v>
      </c>
      <c r="AG169" s="878">
        <f t="shared" si="31"/>
        <v>0.5</v>
      </c>
      <c r="AH169" s="393"/>
      <c r="AI169" s="373"/>
      <c r="AJ169" s="394"/>
      <c r="AK169" s="395"/>
      <c r="AL169" s="321"/>
      <c r="AM169" s="394"/>
      <c r="AN169" s="395"/>
      <c r="AO169" s="321"/>
      <c r="AP169" s="394"/>
      <c r="AQ169" s="395"/>
      <c r="AR169" s="321"/>
      <c r="AS169" s="394"/>
      <c r="AT169" s="395"/>
      <c r="AU169" s="396"/>
      <c r="AV169" s="393"/>
      <c r="AW169" s="376"/>
      <c r="AX169" s="394"/>
      <c r="AY169" s="395"/>
      <c r="AZ169" s="321"/>
      <c r="BA169" s="394"/>
      <c r="BB169" s="395"/>
      <c r="BC169" s="321"/>
      <c r="BD169" s="394"/>
      <c r="BE169" s="395"/>
      <c r="BF169" s="321"/>
      <c r="BG169" s="394"/>
      <c r="BH169" s="395"/>
      <c r="BI169" s="396"/>
      <c r="BJ169" s="393"/>
      <c r="BL169" s="394"/>
      <c r="BM169" s="395"/>
      <c r="BN169" s="321"/>
      <c r="BO169" s="394"/>
      <c r="BP169" s="395"/>
      <c r="BQ169" s="321"/>
      <c r="BR169" s="394"/>
      <c r="BS169" s="395"/>
      <c r="BT169" s="321"/>
      <c r="BU169" s="394"/>
      <c r="BV169" s="395"/>
      <c r="BW169" s="396"/>
      <c r="BX169" s="393"/>
      <c r="BZ169" s="394"/>
      <c r="CA169" s="395"/>
      <c r="CB169" s="321"/>
      <c r="CC169" s="394"/>
      <c r="CD169" s="395"/>
      <c r="CE169" s="321"/>
      <c r="CF169" s="394"/>
      <c r="CG169" s="395"/>
      <c r="CH169" s="321"/>
      <c r="CI169" s="394"/>
      <c r="CJ169" s="395"/>
      <c r="CK169" s="396"/>
      <c r="CL169" s="393"/>
    </row>
    <row r="170" spans="2:90" s="299" customFormat="1" ht="28.5" x14ac:dyDescent="0.25">
      <c r="B170" s="1152"/>
      <c r="C170" s="1164"/>
      <c r="D170" s="1102"/>
      <c r="E170" s="332" t="str">
        <f>+'Plan de Accion 2018'!B45</f>
        <v>Dirección de Liquidaciones y Garantías</v>
      </c>
      <c r="F170" s="333" t="str">
        <f>+'Plan de Accion 2018'!R45</f>
        <v># Informes reportados</v>
      </c>
      <c r="G170" s="335"/>
      <c r="H170" s="780">
        <f>+'Plan de Accion 2018'!AA45</f>
        <v>1</v>
      </c>
      <c r="I170" s="777">
        <f>+'Plan de Accion 2018'!BL45</f>
        <v>1</v>
      </c>
      <c r="J170" s="777">
        <f t="shared" si="36"/>
        <v>1</v>
      </c>
      <c r="K170" s="777">
        <f>+'Plan de Accion 2018'!AE45</f>
        <v>0.25</v>
      </c>
      <c r="L170" s="777">
        <f t="shared" si="37"/>
        <v>0.25</v>
      </c>
      <c r="M170" s="1391">
        <f t="shared" si="38"/>
        <v>0.25</v>
      </c>
      <c r="N170" s="887"/>
      <c r="O170" s="780">
        <f>+'Plan de Accion 2018'!AK45</f>
        <v>1</v>
      </c>
      <c r="P170" s="777">
        <f>+'Plan de Accion 2018'!BN45</f>
        <v>1</v>
      </c>
      <c r="Q170" s="870">
        <f t="shared" si="32"/>
        <v>1</v>
      </c>
      <c r="R170" s="892">
        <f>+'Plan de Accion 2018'!AO45</f>
        <v>0.5</v>
      </c>
      <c r="S170" s="892">
        <f t="shared" si="29"/>
        <v>0.5</v>
      </c>
      <c r="T170" s="878">
        <f t="shared" si="33"/>
        <v>0.5</v>
      </c>
      <c r="U170" s="336"/>
      <c r="V170" s="780">
        <f>+'Plan de Accion 2018'!AU45</f>
        <v>0</v>
      </c>
      <c r="W170" s="777">
        <f>+'Plan de Accion 2018'!BP45</f>
        <v>0</v>
      </c>
      <c r="X170" s="870">
        <f t="shared" si="34"/>
        <v>0</v>
      </c>
      <c r="Y170" s="777">
        <f>+'Plan de Accion 2018'!AY45</f>
        <v>0.5</v>
      </c>
      <c r="Z170" s="892">
        <f t="shared" si="44"/>
        <v>0.5</v>
      </c>
      <c r="AA170" s="878">
        <f t="shared" si="35"/>
        <v>0.5</v>
      </c>
      <c r="AB170" s="336"/>
      <c r="AC170" s="780">
        <f>+'Plan de Accion 2018'!BE45</f>
        <v>0</v>
      </c>
      <c r="AD170" s="331">
        <f>+'Plan de Accion 2018'!BR45</f>
        <v>0</v>
      </c>
      <c r="AE170" s="870">
        <f t="shared" si="30"/>
        <v>0</v>
      </c>
      <c r="AF170" s="777">
        <f>+'Plan de Accion 2018'!BI45</f>
        <v>0.5</v>
      </c>
      <c r="AG170" s="878">
        <f t="shared" si="31"/>
        <v>0.5</v>
      </c>
      <c r="AH170" s="393"/>
      <c r="AI170" s="373"/>
      <c r="AJ170" s="394"/>
      <c r="AK170" s="395"/>
      <c r="AL170" s="321"/>
      <c r="AM170" s="394"/>
      <c r="AN170" s="395"/>
      <c r="AO170" s="321"/>
      <c r="AP170" s="394"/>
      <c r="AQ170" s="395"/>
      <c r="AR170" s="321"/>
      <c r="AS170" s="394"/>
      <c r="AT170" s="395"/>
      <c r="AU170" s="396"/>
      <c r="AV170" s="393"/>
      <c r="AW170" s="376"/>
      <c r="AX170" s="394"/>
      <c r="AY170" s="395"/>
      <c r="AZ170" s="321"/>
      <c r="BA170" s="394"/>
      <c r="BB170" s="395"/>
      <c r="BC170" s="321"/>
      <c r="BD170" s="394"/>
      <c r="BE170" s="395"/>
      <c r="BF170" s="321"/>
      <c r="BG170" s="394"/>
      <c r="BH170" s="395"/>
      <c r="BI170" s="396"/>
      <c r="BJ170" s="393"/>
      <c r="BL170" s="394"/>
      <c r="BM170" s="395"/>
      <c r="BN170" s="321"/>
      <c r="BO170" s="394"/>
      <c r="BP170" s="395"/>
      <c r="BQ170" s="321"/>
      <c r="BR170" s="394"/>
      <c r="BS170" s="395"/>
      <c r="BT170" s="321"/>
      <c r="BU170" s="394"/>
      <c r="BV170" s="395"/>
      <c r="BW170" s="396"/>
      <c r="BX170" s="393"/>
      <c r="BZ170" s="394"/>
      <c r="CA170" s="395"/>
      <c r="CB170" s="321"/>
      <c r="CC170" s="394"/>
      <c r="CD170" s="395"/>
      <c r="CE170" s="321"/>
      <c r="CF170" s="394"/>
      <c r="CG170" s="395"/>
      <c r="CH170" s="321"/>
      <c r="CI170" s="394"/>
      <c r="CJ170" s="395"/>
      <c r="CK170" s="396"/>
      <c r="CL170" s="393"/>
    </row>
    <row r="171" spans="2:90" s="299" customFormat="1" ht="28.5" x14ac:dyDescent="0.25">
      <c r="B171" s="1152"/>
      <c r="C171" s="1164"/>
      <c r="D171" s="1102"/>
      <c r="E171" s="332" t="str">
        <f>+'Plan de Accion 2018'!B64</f>
        <v xml:space="preserve">Dirección de Otras Prestaciones  </v>
      </c>
      <c r="F171" s="333" t="str">
        <f>+'Plan de Accion 2018'!R64</f>
        <v># Informes reportados</v>
      </c>
      <c r="G171" s="335"/>
      <c r="H171" s="780">
        <f>+'Plan de Accion 2018'!AA64</f>
        <v>1</v>
      </c>
      <c r="I171" s="777">
        <f>+'Plan de Accion 2018'!BL64</f>
        <v>1</v>
      </c>
      <c r="J171" s="777">
        <f t="shared" si="36"/>
        <v>1</v>
      </c>
      <c r="K171" s="777">
        <f>+'Plan de Accion 2018'!AE64</f>
        <v>0.25</v>
      </c>
      <c r="L171" s="777">
        <f t="shared" si="37"/>
        <v>0.25</v>
      </c>
      <c r="M171" s="1391">
        <f t="shared" si="38"/>
        <v>0.25</v>
      </c>
      <c r="N171" s="887"/>
      <c r="O171" s="780">
        <f>+'Plan de Accion 2018'!AK64</f>
        <v>1</v>
      </c>
      <c r="P171" s="777">
        <f>+'Plan de Accion 2018'!BN64</f>
        <v>1</v>
      </c>
      <c r="Q171" s="870">
        <f t="shared" si="32"/>
        <v>1</v>
      </c>
      <c r="R171" s="892">
        <f>+'Plan de Accion 2018'!AO64</f>
        <v>0.5</v>
      </c>
      <c r="S171" s="892">
        <f t="shared" si="29"/>
        <v>0.5</v>
      </c>
      <c r="T171" s="878">
        <f t="shared" si="33"/>
        <v>0.5</v>
      </c>
      <c r="U171" s="336"/>
      <c r="V171" s="780">
        <f>+'Plan de Accion 2018'!AU64</f>
        <v>0</v>
      </c>
      <c r="W171" s="777">
        <f>+'Plan de Accion 2018'!BP64</f>
        <v>0</v>
      </c>
      <c r="X171" s="870">
        <f t="shared" si="34"/>
        <v>0</v>
      </c>
      <c r="Y171" s="777">
        <f>+'Plan de Accion 2018'!AY64</f>
        <v>0.5</v>
      </c>
      <c r="Z171" s="892">
        <f t="shared" si="44"/>
        <v>0.5</v>
      </c>
      <c r="AA171" s="878">
        <f t="shared" si="35"/>
        <v>0.5</v>
      </c>
      <c r="AB171" s="336"/>
      <c r="AC171" s="780">
        <f>+'Plan de Accion 2018'!BE64</f>
        <v>0</v>
      </c>
      <c r="AD171" s="331">
        <f>+'Plan de Accion 2018'!BR64</f>
        <v>0</v>
      </c>
      <c r="AE171" s="870">
        <f t="shared" si="30"/>
        <v>0</v>
      </c>
      <c r="AF171" s="777">
        <f>+'Plan de Accion 2018'!BI64</f>
        <v>0.5</v>
      </c>
      <c r="AG171" s="878">
        <f t="shared" si="31"/>
        <v>0.5</v>
      </c>
      <c r="AH171" s="393"/>
      <c r="AI171" s="373"/>
      <c r="AJ171" s="394"/>
      <c r="AK171" s="395"/>
      <c r="AL171" s="321"/>
      <c r="AM171" s="394"/>
      <c r="AN171" s="395"/>
      <c r="AO171" s="321"/>
      <c r="AP171" s="394"/>
      <c r="AQ171" s="395"/>
      <c r="AR171" s="321"/>
      <c r="AS171" s="394"/>
      <c r="AT171" s="395"/>
      <c r="AU171" s="396"/>
      <c r="AV171" s="393"/>
      <c r="AW171" s="376"/>
      <c r="AX171" s="394"/>
      <c r="AY171" s="395"/>
      <c r="AZ171" s="321"/>
      <c r="BA171" s="394"/>
      <c r="BB171" s="395"/>
      <c r="BC171" s="321"/>
      <c r="BD171" s="394"/>
      <c r="BE171" s="395"/>
      <c r="BF171" s="321"/>
      <c r="BG171" s="394"/>
      <c r="BH171" s="395"/>
      <c r="BI171" s="396"/>
      <c r="BJ171" s="393"/>
      <c r="BL171" s="394"/>
      <c r="BM171" s="395"/>
      <c r="BN171" s="321"/>
      <c r="BO171" s="394"/>
      <c r="BP171" s="395"/>
      <c r="BQ171" s="321"/>
      <c r="BR171" s="394"/>
      <c r="BS171" s="395"/>
      <c r="BT171" s="321"/>
      <c r="BU171" s="394"/>
      <c r="BV171" s="395"/>
      <c r="BW171" s="396"/>
      <c r="BX171" s="393"/>
      <c r="BZ171" s="394"/>
      <c r="CA171" s="395"/>
      <c r="CB171" s="321"/>
      <c r="CC171" s="394"/>
      <c r="CD171" s="395"/>
      <c r="CE171" s="321"/>
      <c r="CF171" s="394"/>
      <c r="CG171" s="395"/>
      <c r="CH171" s="321"/>
      <c r="CI171" s="394"/>
      <c r="CJ171" s="395"/>
      <c r="CK171" s="396"/>
      <c r="CL171" s="393"/>
    </row>
    <row r="172" spans="2:90" s="299" customFormat="1" ht="57" x14ac:dyDescent="0.25">
      <c r="B172" s="1152"/>
      <c r="C172" s="1164"/>
      <c r="D172" s="1102"/>
      <c r="E172" s="332" t="str">
        <f>+'Plan de Accion 2018'!B76</f>
        <v>Dirección de Gestión de Tecnología de la Información y la Comunicación</v>
      </c>
      <c r="F172" s="333" t="str">
        <f>+'Plan de Accion 2018'!R76</f>
        <v># Informes reportados</v>
      </c>
      <c r="G172" s="335"/>
      <c r="H172" s="780">
        <f>+'Plan de Accion 2018'!AA76</f>
        <v>1</v>
      </c>
      <c r="I172" s="777">
        <f>+'Plan de Accion 2018'!BL76</f>
        <v>1</v>
      </c>
      <c r="J172" s="777">
        <f t="shared" si="36"/>
        <v>1</v>
      </c>
      <c r="K172" s="777">
        <f>+'Plan de Accion 2018'!AE76</f>
        <v>0.25</v>
      </c>
      <c r="L172" s="777">
        <f t="shared" si="37"/>
        <v>0.25</v>
      </c>
      <c r="M172" s="1391">
        <f t="shared" si="38"/>
        <v>0.25</v>
      </c>
      <c r="N172" s="887"/>
      <c r="O172" s="780">
        <f>+'Plan de Accion 2018'!AK76</f>
        <v>1</v>
      </c>
      <c r="P172" s="777">
        <f>+'Plan de Accion 2018'!BN76</f>
        <v>1</v>
      </c>
      <c r="Q172" s="870">
        <f t="shared" si="32"/>
        <v>1</v>
      </c>
      <c r="R172" s="892">
        <f>+'Plan de Accion 2018'!AO76</f>
        <v>0.5</v>
      </c>
      <c r="S172" s="892">
        <f t="shared" si="29"/>
        <v>0.5</v>
      </c>
      <c r="T172" s="878">
        <f t="shared" si="33"/>
        <v>0.5</v>
      </c>
      <c r="U172" s="336"/>
      <c r="V172" s="780">
        <f>+'Plan de Accion 2018'!AU76</f>
        <v>0</v>
      </c>
      <c r="W172" s="777">
        <f>+'Plan de Accion 2018'!BP76</f>
        <v>0</v>
      </c>
      <c r="X172" s="870">
        <f t="shared" si="34"/>
        <v>0</v>
      </c>
      <c r="Y172" s="777">
        <f>+'Plan de Accion 2018'!AY76</f>
        <v>0.5</v>
      </c>
      <c r="Z172" s="892">
        <f t="shared" si="44"/>
        <v>0.5</v>
      </c>
      <c r="AA172" s="878">
        <f t="shared" si="35"/>
        <v>0.5</v>
      </c>
      <c r="AB172" s="336"/>
      <c r="AC172" s="780">
        <f>+'Plan de Accion 2018'!BE76</f>
        <v>0</v>
      </c>
      <c r="AD172" s="331">
        <f>+'Plan de Accion 2018'!BR76</f>
        <v>0</v>
      </c>
      <c r="AE172" s="870">
        <f t="shared" si="30"/>
        <v>0</v>
      </c>
      <c r="AF172" s="777">
        <f>+'Plan de Accion 2018'!BI76</f>
        <v>0.5</v>
      </c>
      <c r="AG172" s="878">
        <f t="shared" si="31"/>
        <v>0.5</v>
      </c>
      <c r="AH172" s="393"/>
      <c r="AI172" s="373"/>
      <c r="AJ172" s="394"/>
      <c r="AK172" s="395"/>
      <c r="AL172" s="321"/>
      <c r="AM172" s="394"/>
      <c r="AN172" s="395"/>
      <c r="AO172" s="321"/>
      <c r="AP172" s="394"/>
      <c r="AQ172" s="395"/>
      <c r="AR172" s="321"/>
      <c r="AS172" s="394"/>
      <c r="AT172" s="395"/>
      <c r="AU172" s="396"/>
      <c r="AV172" s="393"/>
      <c r="AW172" s="376"/>
      <c r="AX172" s="394"/>
      <c r="AY172" s="395"/>
      <c r="AZ172" s="321"/>
      <c r="BA172" s="394"/>
      <c r="BB172" s="395"/>
      <c r="BC172" s="321"/>
      <c r="BD172" s="394"/>
      <c r="BE172" s="395"/>
      <c r="BF172" s="321"/>
      <c r="BG172" s="394"/>
      <c r="BH172" s="395"/>
      <c r="BI172" s="396"/>
      <c r="BJ172" s="393"/>
      <c r="BL172" s="394"/>
      <c r="BM172" s="395"/>
      <c r="BN172" s="321"/>
      <c r="BO172" s="394"/>
      <c r="BP172" s="395"/>
      <c r="BQ172" s="321"/>
      <c r="BR172" s="394"/>
      <c r="BS172" s="395"/>
      <c r="BT172" s="321"/>
      <c r="BU172" s="394"/>
      <c r="BV172" s="395"/>
      <c r="BW172" s="396"/>
      <c r="BX172" s="393"/>
      <c r="BZ172" s="394"/>
      <c r="CA172" s="395"/>
      <c r="CB172" s="321"/>
      <c r="CC172" s="394"/>
      <c r="CD172" s="395"/>
      <c r="CE172" s="321"/>
      <c r="CF172" s="394"/>
      <c r="CG172" s="395"/>
      <c r="CH172" s="321"/>
      <c r="CI172" s="394"/>
      <c r="CJ172" s="395"/>
      <c r="CK172" s="396"/>
      <c r="CL172" s="393"/>
    </row>
    <row r="173" spans="2:90" s="299" customFormat="1" ht="28.5" x14ac:dyDescent="0.25">
      <c r="B173" s="1152"/>
      <c r="C173" s="1164"/>
      <c r="D173" s="1102"/>
      <c r="E173" s="332" t="str">
        <f>+'Plan de Accion 2018'!B89</f>
        <v>Dirección Administrativa y Financiera</v>
      </c>
      <c r="F173" s="333" t="str">
        <f>+'Plan de Accion 2018'!R89</f>
        <v># Informes reportados</v>
      </c>
      <c r="G173" s="335"/>
      <c r="H173" s="780">
        <f>+'Plan de Accion 2018'!AA89</f>
        <v>1</v>
      </c>
      <c r="I173" s="777">
        <f>+'Plan de Accion 2018'!BL89</f>
        <v>1</v>
      </c>
      <c r="J173" s="777">
        <f t="shared" si="36"/>
        <v>1</v>
      </c>
      <c r="K173" s="777">
        <f>+'Plan de Accion 2018'!AE89</f>
        <v>0.25</v>
      </c>
      <c r="L173" s="777">
        <f t="shared" si="37"/>
        <v>0.25</v>
      </c>
      <c r="M173" s="1391">
        <f t="shared" si="38"/>
        <v>0.25</v>
      </c>
      <c r="N173" s="887"/>
      <c r="O173" s="780">
        <f>+'Plan de Accion 2018'!AK89</f>
        <v>1</v>
      </c>
      <c r="P173" s="777">
        <f>+'Plan de Accion 2018'!BN89</f>
        <v>1</v>
      </c>
      <c r="Q173" s="870">
        <f t="shared" si="32"/>
        <v>1</v>
      </c>
      <c r="R173" s="892">
        <f>+'Plan de Accion 2018'!AO89</f>
        <v>0.5</v>
      </c>
      <c r="S173" s="892">
        <f t="shared" si="29"/>
        <v>0.5</v>
      </c>
      <c r="T173" s="878">
        <f t="shared" si="33"/>
        <v>0.5</v>
      </c>
      <c r="U173" s="336"/>
      <c r="V173" s="780">
        <f>+'Plan de Accion 2018'!AU89</f>
        <v>0</v>
      </c>
      <c r="W173" s="777">
        <f>+'Plan de Accion 2018'!BP89</f>
        <v>0</v>
      </c>
      <c r="X173" s="870">
        <f t="shared" si="34"/>
        <v>0</v>
      </c>
      <c r="Y173" s="777">
        <f>+'Plan de Accion 2018'!AY89</f>
        <v>0.5</v>
      </c>
      <c r="Z173" s="892">
        <f t="shared" si="44"/>
        <v>0.5</v>
      </c>
      <c r="AA173" s="878">
        <f t="shared" si="35"/>
        <v>0.5</v>
      </c>
      <c r="AB173" s="336"/>
      <c r="AC173" s="780">
        <f>+'Plan de Accion 2018'!BE89</f>
        <v>0</v>
      </c>
      <c r="AD173" s="331">
        <f>+'Plan de Accion 2018'!BR89</f>
        <v>0</v>
      </c>
      <c r="AE173" s="870">
        <f t="shared" si="30"/>
        <v>0</v>
      </c>
      <c r="AF173" s="777">
        <f>+'Plan de Accion 2018'!BI89</f>
        <v>0.5</v>
      </c>
      <c r="AG173" s="878">
        <f t="shared" si="31"/>
        <v>0.5</v>
      </c>
      <c r="AH173" s="393"/>
      <c r="AI173" s="373"/>
      <c r="AJ173" s="394"/>
      <c r="AK173" s="395"/>
      <c r="AL173" s="321"/>
      <c r="AM173" s="394"/>
      <c r="AN173" s="395"/>
      <c r="AO173" s="321"/>
      <c r="AP173" s="394"/>
      <c r="AQ173" s="395"/>
      <c r="AR173" s="321"/>
      <c r="AS173" s="394"/>
      <c r="AT173" s="395"/>
      <c r="AU173" s="396"/>
      <c r="AV173" s="393"/>
      <c r="AW173" s="376"/>
      <c r="AX173" s="394"/>
      <c r="AY173" s="395"/>
      <c r="AZ173" s="321"/>
      <c r="BA173" s="394"/>
      <c r="BB173" s="395"/>
      <c r="BC173" s="321"/>
      <c r="BD173" s="394"/>
      <c r="BE173" s="395"/>
      <c r="BF173" s="321"/>
      <c r="BG173" s="394"/>
      <c r="BH173" s="395"/>
      <c r="BI173" s="396"/>
      <c r="BJ173" s="393"/>
      <c r="BL173" s="394"/>
      <c r="BM173" s="395"/>
      <c r="BN173" s="321"/>
      <c r="BO173" s="394"/>
      <c r="BP173" s="395"/>
      <c r="BQ173" s="321"/>
      <c r="BR173" s="394"/>
      <c r="BS173" s="395"/>
      <c r="BT173" s="321"/>
      <c r="BU173" s="394"/>
      <c r="BV173" s="395"/>
      <c r="BW173" s="396"/>
      <c r="BX173" s="393"/>
      <c r="BZ173" s="394"/>
      <c r="CA173" s="395"/>
      <c r="CB173" s="321"/>
      <c r="CC173" s="394"/>
      <c r="CD173" s="395"/>
      <c r="CE173" s="321"/>
      <c r="CF173" s="394"/>
      <c r="CG173" s="395"/>
      <c r="CH173" s="321"/>
      <c r="CI173" s="394"/>
      <c r="CJ173" s="395"/>
      <c r="CK173" s="396"/>
      <c r="CL173" s="393"/>
    </row>
    <row r="174" spans="2:90" s="299" customFormat="1" ht="19.5" x14ac:dyDescent="0.25">
      <c r="B174" s="1152"/>
      <c r="C174" s="1164"/>
      <c r="D174" s="1102"/>
      <c r="E174" s="332" t="str">
        <f>+'Plan de Accion 2018'!B114</f>
        <v>Oficina de Control Interno</v>
      </c>
      <c r="F174" s="333" t="str">
        <f>+'Plan de Accion 2018'!R114</f>
        <v># Informes reportados</v>
      </c>
      <c r="G174" s="335"/>
      <c r="H174" s="780">
        <f>+'Plan de Accion 2018'!AA114</f>
        <v>1</v>
      </c>
      <c r="I174" s="777">
        <f>+'Plan de Accion 2018'!BL114</f>
        <v>1</v>
      </c>
      <c r="J174" s="777">
        <f t="shared" si="36"/>
        <v>1</v>
      </c>
      <c r="K174" s="777">
        <f>+'Plan de Accion 2018'!AE114</f>
        <v>0.25</v>
      </c>
      <c r="L174" s="777">
        <f t="shared" si="37"/>
        <v>0.25</v>
      </c>
      <c r="M174" s="1391">
        <f t="shared" si="38"/>
        <v>0.25</v>
      </c>
      <c r="N174" s="887"/>
      <c r="O174" s="780">
        <f>+'Plan de Accion 2018'!AK114</f>
        <v>1</v>
      </c>
      <c r="P174" s="777">
        <f>+'Plan de Accion 2018'!BN114</f>
        <v>1</v>
      </c>
      <c r="Q174" s="870">
        <f t="shared" si="32"/>
        <v>1</v>
      </c>
      <c r="R174" s="892">
        <f>+'Plan de Accion 2018'!AO114</f>
        <v>0.5</v>
      </c>
      <c r="S174" s="892">
        <f t="shared" si="29"/>
        <v>0.5</v>
      </c>
      <c r="T174" s="878">
        <f t="shared" si="33"/>
        <v>0.5</v>
      </c>
      <c r="U174" s="336"/>
      <c r="V174" s="780">
        <f>+'Plan de Accion 2018'!AU114</f>
        <v>0</v>
      </c>
      <c r="W174" s="777">
        <f>+'Plan de Accion 2018'!BP114</f>
        <v>0</v>
      </c>
      <c r="X174" s="870">
        <f t="shared" si="34"/>
        <v>0</v>
      </c>
      <c r="Y174" s="777">
        <f>+'Plan de Accion 2018'!AY114</f>
        <v>0.5</v>
      </c>
      <c r="Z174" s="892">
        <f t="shared" si="44"/>
        <v>0.5</v>
      </c>
      <c r="AA174" s="878">
        <f t="shared" si="35"/>
        <v>0.5</v>
      </c>
      <c r="AB174" s="336"/>
      <c r="AC174" s="780">
        <f>+'Plan de Accion 2018'!BE114</f>
        <v>0</v>
      </c>
      <c r="AD174" s="331">
        <f>+'Plan de Accion 2018'!BR114</f>
        <v>0</v>
      </c>
      <c r="AE174" s="870">
        <f t="shared" si="30"/>
        <v>0</v>
      </c>
      <c r="AF174" s="777">
        <f>+'Plan de Accion 2018'!BI114</f>
        <v>0.5</v>
      </c>
      <c r="AG174" s="878">
        <f t="shared" si="31"/>
        <v>0.5</v>
      </c>
      <c r="AH174" s="393"/>
      <c r="AI174" s="373"/>
      <c r="AJ174" s="394"/>
      <c r="AK174" s="395"/>
      <c r="AL174" s="321"/>
      <c r="AM174" s="394"/>
      <c r="AN174" s="395"/>
      <c r="AO174" s="321"/>
      <c r="AP174" s="394"/>
      <c r="AQ174" s="395"/>
      <c r="AR174" s="321"/>
      <c r="AS174" s="394"/>
      <c r="AT174" s="395"/>
      <c r="AU174" s="396"/>
      <c r="AV174" s="393"/>
      <c r="AW174" s="376"/>
      <c r="AX174" s="394"/>
      <c r="AY174" s="395"/>
      <c r="AZ174" s="321"/>
      <c r="BA174" s="394"/>
      <c r="BB174" s="395"/>
      <c r="BC174" s="321"/>
      <c r="BD174" s="394"/>
      <c r="BE174" s="395"/>
      <c r="BF174" s="321"/>
      <c r="BG174" s="394"/>
      <c r="BH174" s="395"/>
      <c r="BI174" s="396"/>
      <c r="BJ174" s="393"/>
      <c r="BL174" s="394"/>
      <c r="BM174" s="395"/>
      <c r="BN174" s="321"/>
      <c r="BO174" s="394"/>
      <c r="BP174" s="395"/>
      <c r="BQ174" s="321"/>
      <c r="BR174" s="394"/>
      <c r="BS174" s="395"/>
      <c r="BT174" s="321"/>
      <c r="BU174" s="394"/>
      <c r="BV174" s="395"/>
      <c r="BW174" s="396"/>
      <c r="BX174" s="393"/>
      <c r="BZ174" s="394"/>
      <c r="CA174" s="395"/>
      <c r="CB174" s="321"/>
      <c r="CC174" s="394"/>
      <c r="CD174" s="395"/>
      <c r="CE174" s="321"/>
      <c r="CF174" s="394"/>
      <c r="CG174" s="395"/>
      <c r="CH174" s="321"/>
      <c r="CI174" s="394"/>
      <c r="CJ174" s="395"/>
      <c r="CK174" s="396"/>
      <c r="CL174" s="393"/>
    </row>
    <row r="175" spans="2:90" s="299" customFormat="1" ht="19.5" x14ac:dyDescent="0.25">
      <c r="B175" s="1152"/>
      <c r="C175" s="1164"/>
      <c r="D175" s="1102"/>
      <c r="E175" s="332" t="str">
        <f>+'Plan de Accion 2018'!B122</f>
        <v>Oficina Asesora Jurídica</v>
      </c>
      <c r="F175" s="333" t="str">
        <f>+'Plan de Accion 2018'!R122</f>
        <v># Informes reportados</v>
      </c>
      <c r="G175" s="335"/>
      <c r="H175" s="780">
        <f>+'Plan de Accion 2018'!AA122</f>
        <v>1</v>
      </c>
      <c r="I175" s="777">
        <f>+'Plan de Accion 2018'!BL122</f>
        <v>1</v>
      </c>
      <c r="J175" s="777">
        <f t="shared" si="36"/>
        <v>1</v>
      </c>
      <c r="K175" s="777">
        <f>+'Plan de Accion 2018'!AE122</f>
        <v>0.25</v>
      </c>
      <c r="L175" s="777">
        <f t="shared" si="37"/>
        <v>0.25</v>
      </c>
      <c r="M175" s="1391">
        <f t="shared" si="38"/>
        <v>0.25</v>
      </c>
      <c r="N175" s="887"/>
      <c r="O175" s="780">
        <f>+'Plan de Accion 2018'!AK122</f>
        <v>1</v>
      </c>
      <c r="P175" s="777">
        <f>+'Plan de Accion 2018'!BN122</f>
        <v>1</v>
      </c>
      <c r="Q175" s="870">
        <f t="shared" si="32"/>
        <v>1</v>
      </c>
      <c r="R175" s="892">
        <f>+'Plan de Accion 2018'!AO122</f>
        <v>0.5</v>
      </c>
      <c r="S175" s="892">
        <f t="shared" si="29"/>
        <v>0.5</v>
      </c>
      <c r="T175" s="878">
        <f t="shared" si="33"/>
        <v>0.5</v>
      </c>
      <c r="U175" s="336"/>
      <c r="V175" s="780">
        <f>+'Plan de Accion 2018'!AU122</f>
        <v>0</v>
      </c>
      <c r="W175" s="777">
        <f>+'Plan de Accion 2018'!BP122</f>
        <v>0</v>
      </c>
      <c r="X175" s="870">
        <f t="shared" si="34"/>
        <v>0</v>
      </c>
      <c r="Y175" s="777">
        <f>+'Plan de Accion 2018'!AY122</f>
        <v>0.5</v>
      </c>
      <c r="Z175" s="892">
        <f t="shared" si="44"/>
        <v>0.5</v>
      </c>
      <c r="AA175" s="878">
        <f t="shared" si="35"/>
        <v>0.5</v>
      </c>
      <c r="AB175" s="336"/>
      <c r="AC175" s="780">
        <f>+'Plan de Accion 2018'!BE122</f>
        <v>0</v>
      </c>
      <c r="AD175" s="331">
        <f>+'Plan de Accion 2018'!BR122</f>
        <v>0</v>
      </c>
      <c r="AE175" s="870">
        <f t="shared" si="30"/>
        <v>0</v>
      </c>
      <c r="AF175" s="777">
        <f>+'Plan de Accion 2018'!BI122</f>
        <v>0.5</v>
      </c>
      <c r="AG175" s="878">
        <f t="shared" si="31"/>
        <v>0.5</v>
      </c>
      <c r="AH175" s="393"/>
      <c r="AI175" s="373"/>
      <c r="AJ175" s="394"/>
      <c r="AK175" s="395"/>
      <c r="AL175" s="321"/>
      <c r="AM175" s="394"/>
      <c r="AN175" s="395"/>
      <c r="AO175" s="321"/>
      <c r="AP175" s="394"/>
      <c r="AQ175" s="395"/>
      <c r="AR175" s="321"/>
      <c r="AS175" s="394"/>
      <c r="AT175" s="395"/>
      <c r="AU175" s="396"/>
      <c r="AV175" s="393"/>
      <c r="AW175" s="376"/>
      <c r="AX175" s="394"/>
      <c r="AY175" s="395"/>
      <c r="AZ175" s="321"/>
      <c r="BA175" s="394"/>
      <c r="BB175" s="395"/>
      <c r="BC175" s="321"/>
      <c r="BD175" s="394"/>
      <c r="BE175" s="395"/>
      <c r="BF175" s="321"/>
      <c r="BG175" s="394"/>
      <c r="BH175" s="395"/>
      <c r="BI175" s="396"/>
      <c r="BJ175" s="393"/>
      <c r="BL175" s="394"/>
      <c r="BM175" s="395"/>
      <c r="BN175" s="321"/>
      <c r="BO175" s="394"/>
      <c r="BP175" s="395"/>
      <c r="BQ175" s="321"/>
      <c r="BR175" s="394"/>
      <c r="BS175" s="395"/>
      <c r="BT175" s="321"/>
      <c r="BU175" s="394"/>
      <c r="BV175" s="395"/>
      <c r="BW175" s="396"/>
      <c r="BX175" s="393"/>
      <c r="BZ175" s="394"/>
      <c r="CA175" s="395"/>
      <c r="CB175" s="321"/>
      <c r="CC175" s="394"/>
      <c r="CD175" s="395"/>
      <c r="CE175" s="321"/>
      <c r="CF175" s="394"/>
      <c r="CG175" s="395"/>
      <c r="CH175" s="321"/>
      <c r="CI175" s="394"/>
      <c r="CJ175" s="395"/>
      <c r="CK175" s="396"/>
      <c r="CL175" s="393"/>
    </row>
    <row r="176" spans="2:90" s="299" customFormat="1" ht="43.5" thickBot="1" x14ac:dyDescent="0.3">
      <c r="B176" s="1152"/>
      <c r="C176" s="1164"/>
      <c r="D176" s="1102"/>
      <c r="E176" s="337" t="str">
        <f>+'Plan de Accion 2018'!B140</f>
        <v>Oficina Asesora de Planeación y Control de Riegos</v>
      </c>
      <c r="F176" s="339" t="str">
        <f>+'Plan de Accion 2018'!R140</f>
        <v># Informes reportados</v>
      </c>
      <c r="G176" s="335"/>
      <c r="H176" s="781">
        <f>+'Plan de Accion 2018'!AA140</f>
        <v>1</v>
      </c>
      <c r="I176" s="928">
        <f>+'Plan de Accion 2018'!BL140</f>
        <v>1</v>
      </c>
      <c r="J176" s="928">
        <f t="shared" si="36"/>
        <v>1</v>
      </c>
      <c r="K176" s="928">
        <f>+'Plan de Accion 2018'!AE140</f>
        <v>0.25</v>
      </c>
      <c r="L176" s="928">
        <f t="shared" si="37"/>
        <v>0.25</v>
      </c>
      <c r="M176" s="930">
        <f t="shared" si="38"/>
        <v>0.25</v>
      </c>
      <c r="N176" s="887"/>
      <c r="O176" s="781">
        <f>+'Plan de Accion 2018'!AK140</f>
        <v>1</v>
      </c>
      <c r="P176" s="890">
        <f>+'Plan de Accion 2018'!BN140</f>
        <v>1</v>
      </c>
      <c r="Q176" s="872">
        <f t="shared" si="32"/>
        <v>1</v>
      </c>
      <c r="R176" s="892">
        <f>+'Plan de Accion 2018'!AO140</f>
        <v>0.5</v>
      </c>
      <c r="S176" s="891">
        <f t="shared" si="29"/>
        <v>0.5</v>
      </c>
      <c r="T176" s="878">
        <f t="shared" si="33"/>
        <v>0.5</v>
      </c>
      <c r="U176" s="336"/>
      <c r="V176" s="781">
        <f>+'Plan de Accion 2018'!AU140</f>
        <v>0</v>
      </c>
      <c r="W176" s="890">
        <f>+'Plan de Accion 2018'!BP140</f>
        <v>0</v>
      </c>
      <c r="X176" s="870">
        <f t="shared" si="34"/>
        <v>0</v>
      </c>
      <c r="Y176" s="890">
        <f>+'Plan de Accion 2018'!AY140</f>
        <v>0.5</v>
      </c>
      <c r="Z176" s="892">
        <f t="shared" si="44"/>
        <v>0.5</v>
      </c>
      <c r="AA176" s="878">
        <f t="shared" si="35"/>
        <v>0.5</v>
      </c>
      <c r="AB176" s="336"/>
      <c r="AC176" s="781">
        <f>+'Plan de Accion 2018'!BE140</f>
        <v>0</v>
      </c>
      <c r="AD176" s="341">
        <f>+'Plan de Accion 2018'!BR140</f>
        <v>0</v>
      </c>
      <c r="AE176" s="870">
        <f t="shared" si="30"/>
        <v>0</v>
      </c>
      <c r="AF176" s="885">
        <f>+'Plan de Accion 2018'!BI140</f>
        <v>0.5</v>
      </c>
      <c r="AG176" s="878">
        <f t="shared" si="31"/>
        <v>0.5</v>
      </c>
      <c r="AH176" s="393"/>
      <c r="AI176" s="373"/>
      <c r="AJ176" s="394"/>
      <c r="AK176" s="395"/>
      <c r="AL176" s="321"/>
      <c r="AM176" s="394"/>
      <c r="AN176" s="395"/>
      <c r="AO176" s="321"/>
      <c r="AP176" s="394"/>
      <c r="AQ176" s="395"/>
      <c r="AR176" s="321"/>
      <c r="AS176" s="394"/>
      <c r="AT176" s="395"/>
      <c r="AU176" s="396"/>
      <c r="AV176" s="393"/>
      <c r="AW176" s="376"/>
      <c r="AX176" s="394"/>
      <c r="AY176" s="395"/>
      <c r="AZ176" s="321"/>
      <c r="BA176" s="394"/>
      <c r="BB176" s="395"/>
      <c r="BC176" s="321"/>
      <c r="BD176" s="394"/>
      <c r="BE176" s="395"/>
      <c r="BF176" s="321"/>
      <c r="BG176" s="394"/>
      <c r="BH176" s="395"/>
      <c r="BI176" s="396"/>
      <c r="BJ176" s="393"/>
      <c r="BL176" s="394"/>
      <c r="BM176" s="395"/>
      <c r="BN176" s="321"/>
      <c r="BO176" s="394"/>
      <c r="BP176" s="395"/>
      <c r="BQ176" s="321"/>
      <c r="BR176" s="394"/>
      <c r="BS176" s="395"/>
      <c r="BT176" s="321"/>
      <c r="BU176" s="394"/>
      <c r="BV176" s="395"/>
      <c r="BW176" s="396"/>
      <c r="BX176" s="393"/>
      <c r="BZ176" s="394"/>
      <c r="CA176" s="395"/>
      <c r="CB176" s="321"/>
      <c r="CC176" s="394"/>
      <c r="CD176" s="395"/>
      <c r="CE176" s="321"/>
      <c r="CF176" s="394"/>
      <c r="CG176" s="395"/>
      <c r="CH176" s="321"/>
      <c r="CI176" s="394"/>
      <c r="CJ176" s="395"/>
      <c r="CK176" s="396"/>
      <c r="CL176" s="393"/>
    </row>
    <row r="177" spans="2:90" s="299" customFormat="1" ht="34.5" customHeight="1" thickBot="1" x14ac:dyDescent="0.3">
      <c r="B177" s="1153"/>
      <c r="C177" s="1154" t="s">
        <v>816</v>
      </c>
      <c r="D177" s="1155"/>
      <c r="E177" s="1155"/>
      <c r="F177" s="1156"/>
      <c r="G177" s="335"/>
      <c r="H177" s="358" t="s">
        <v>792</v>
      </c>
      <c r="I177" s="344">
        <f>SUM(I168:I176)/COUNT(I168:I176)</f>
        <v>1</v>
      </c>
      <c r="J177" s="344">
        <f t="shared" si="36"/>
        <v>1</v>
      </c>
      <c r="K177" s="344">
        <f>SUM(K168:K176)/COUNT(K168:K176)</f>
        <v>0.25</v>
      </c>
      <c r="L177" s="344">
        <f t="shared" ref="L177:M177" si="45">SUM(L168:L176)/COUNT(L168:L176)</f>
        <v>0.25</v>
      </c>
      <c r="M177" s="346">
        <f t="shared" si="45"/>
        <v>0.25</v>
      </c>
      <c r="N177" s="1406"/>
      <c r="O177" s="358" t="s">
        <v>792</v>
      </c>
      <c r="P177" s="876">
        <f>SUM(P168:P176)/COUNT(P168:P176)</f>
        <v>1</v>
      </c>
      <c r="Q177" s="876">
        <f>SUM(Q168:Q176)/COUNT(Q168:Q176)</f>
        <v>1</v>
      </c>
      <c r="R177" s="880">
        <f>SUM(R168:R176)/COUNT(R168:R176)</f>
        <v>0.5</v>
      </c>
      <c r="S177" s="918">
        <f>SUM(S168:S176)/COUNT(S168:S176)</f>
        <v>0.5</v>
      </c>
      <c r="T177" s="888">
        <f>SUM(T168:T176)/COUNT(T168:T176)</f>
        <v>0.5</v>
      </c>
      <c r="U177" s="369"/>
      <c r="V177" s="358" t="s">
        <v>792</v>
      </c>
      <c r="W177" s="344">
        <f>SUM(W168:W176)/COUNT(W168:W176)</f>
        <v>0</v>
      </c>
      <c r="X177" s="344">
        <f>SUM(X168:X176)/COUNT(X168:X176)</f>
        <v>0</v>
      </c>
      <c r="Y177" s="876">
        <f>SUM(Y168:Y176)/COUNT(Y168:Y176)</f>
        <v>0.5</v>
      </c>
      <c r="Z177" s="344">
        <f>SUM(Z168:Z176)/COUNT(Z168:Z176)</f>
        <v>0.5</v>
      </c>
      <c r="AA177" s="346">
        <f>SUM(AA168:AA176)/COUNT(AA168:AA176)</f>
        <v>0.5</v>
      </c>
      <c r="AB177" s="369"/>
      <c r="AC177" s="358" t="s">
        <v>792</v>
      </c>
      <c r="AD177" s="344">
        <f>SUM(AD168:AD176)/COUNT(AD168:AD176)</f>
        <v>0</v>
      </c>
      <c r="AE177" s="344">
        <f>SUM(AE168:AE176)/COUNT(AE168:AE176)</f>
        <v>0</v>
      </c>
      <c r="AF177" s="876">
        <f>SUM(AF168:AF176)/COUNT(AF168:AF176)</f>
        <v>0.5</v>
      </c>
      <c r="AG177" s="346">
        <f>SUM(AG168:AG176)/COUNT(AG168:AG176)</f>
        <v>0.5</v>
      </c>
      <c r="AH177" s="393"/>
      <c r="AI177" s="373"/>
      <c r="AJ177" s="394"/>
      <c r="AK177" s="395"/>
      <c r="AL177" s="321"/>
      <c r="AM177" s="394"/>
      <c r="AN177" s="395"/>
      <c r="AO177" s="321"/>
      <c r="AP177" s="394"/>
      <c r="AQ177" s="395"/>
      <c r="AR177" s="321"/>
      <c r="AS177" s="394"/>
      <c r="AT177" s="395"/>
      <c r="AU177" s="396"/>
      <c r="AV177" s="393"/>
      <c r="AW177" s="376"/>
      <c r="AX177" s="394"/>
      <c r="AY177" s="395"/>
      <c r="AZ177" s="321"/>
      <c r="BA177" s="394"/>
      <c r="BB177" s="395"/>
      <c r="BC177" s="321"/>
      <c r="BD177" s="394"/>
      <c r="BE177" s="395"/>
      <c r="BF177" s="321"/>
      <c r="BG177" s="394"/>
      <c r="BH177" s="395"/>
      <c r="BI177" s="396"/>
      <c r="BJ177" s="393"/>
      <c r="BL177" s="394"/>
      <c r="BM177" s="395"/>
      <c r="BN177" s="321"/>
      <c r="BO177" s="394"/>
      <c r="BP177" s="395"/>
      <c r="BQ177" s="321"/>
      <c r="BR177" s="394"/>
      <c r="BS177" s="395"/>
      <c r="BT177" s="321"/>
      <c r="BU177" s="394"/>
      <c r="BV177" s="395"/>
      <c r="BW177" s="396"/>
      <c r="BX177" s="393"/>
      <c r="BZ177" s="394"/>
      <c r="CA177" s="395"/>
      <c r="CB177" s="321"/>
      <c r="CC177" s="394"/>
      <c r="CD177" s="395"/>
      <c r="CE177" s="321"/>
      <c r="CF177" s="394"/>
      <c r="CG177" s="395"/>
      <c r="CH177" s="321"/>
      <c r="CI177" s="394"/>
      <c r="CJ177" s="395"/>
      <c r="CK177" s="396"/>
      <c r="CL177" s="393"/>
    </row>
    <row r="178" spans="2:90" ht="20.25" thickBot="1" x14ac:dyDescent="0.3">
      <c r="B178" s="1148" t="s">
        <v>810</v>
      </c>
      <c r="C178" s="1149"/>
      <c r="D178" s="1149"/>
      <c r="E178" s="1149"/>
      <c r="F178" s="1150"/>
      <c r="H178" s="381" t="s">
        <v>792</v>
      </c>
      <c r="I178" s="382">
        <f>+(I123+I146+I155+I167+I177)/5</f>
        <v>0.98157247603883246</v>
      </c>
      <c r="J178" s="344">
        <f t="shared" si="36"/>
        <v>0.98157247603883246</v>
      </c>
      <c r="K178" s="382">
        <f>+(K123+K146+K155+K167+K177)/5</f>
        <v>0.2300738387311764</v>
      </c>
      <c r="L178" s="382">
        <f t="shared" ref="L178:M178" si="46">+(L123+L146+L155+L167+L177)/5</f>
        <v>0.20577199402933172</v>
      </c>
      <c r="M178" s="383">
        <f t="shared" si="46"/>
        <v>0.22598240427612942</v>
      </c>
      <c r="N178" s="1409"/>
      <c r="O178" s="381" t="s">
        <v>792</v>
      </c>
      <c r="P178" s="873">
        <f>(P123+P146+P155+P167+P177)/5</f>
        <v>1.0157244761905662</v>
      </c>
      <c r="Q178" s="873">
        <f>SUM(Q108:Q111,Q113:Q122,Q124:Q145,Q147:Q154,Q156:Q166,Q168:Q176)/COUNT(Q108:Q111,Q113:Q122,Q124:Q145,Q147:Q154,Q156:Q166,Q168:Q176)</f>
        <v>0.96771734558783262</v>
      </c>
      <c r="R178" s="894">
        <f>(R123+R146+R155+R167+R177)/5</f>
        <v>0.46675770188464077</v>
      </c>
      <c r="S178" s="382">
        <f>SUM(S108:S111,S113:S122,S124:S145,S147:S154,S156:S166,S168:S176)/COUNT(S108:S111,S113:S122,S124:S145,S147:S154,S156:S166,S168:S176)</f>
        <v>0.42962615208594745</v>
      </c>
      <c r="T178" s="383">
        <f>SUM(T108:T111,T113:T122,T124:T145,T147:T154,T156:T166,T168:T176)/COUNT(T108:T111,T113:T122,T124:T145,T147:T154,T156:T166,T168:T176)</f>
        <v>0.47407023678449373</v>
      </c>
      <c r="U178" s="380"/>
      <c r="V178" s="381" t="s">
        <v>792</v>
      </c>
      <c r="W178" s="873">
        <f>SUM(W108:W122,W124:W145,W147:W154,W156:W166,W168:W176)/COUNT(W108:W122,W124:W145,W147:W154,W156:W166,W168:W176)</f>
        <v>0</v>
      </c>
      <c r="X178" s="873">
        <f>SUM(X108:X122,X124:X145,X147:X154,X156:X166,X168:X176)/COUNT(X108:X122,X124:X145,X147:X154,X156:X166,X168:X176)</f>
        <v>0</v>
      </c>
      <c r="Y178" s="873">
        <f>SUM(Y108:Y111,Y113:Y122,Y124:Y145,Y147:Y154,Y156:Y166,Y168:Y176)/COUNT(Y108:Y111,Y113:Y122,Y124:Y145,Y147:Y154,Y156:Y166,Y168:Y176)</f>
        <v>0.46090517837730333</v>
      </c>
      <c r="Z178" s="382">
        <f>SUM(Z108:Z111,Z113:Z122,Z124:Z145,Z147:Z154,Z156:Z166,Z168:Z176)/COUNT(Z108:Z111,Z113:Z122,Z124:Z145,Z147:Z154,Z156:Z166,Z168:Z176)</f>
        <v>0.44753975502712384</v>
      </c>
      <c r="AA178" s="383">
        <f>SUM(AA108:AA111,AA113:AA122,AA124:AA145,AA147:AA154,AA156:AA166,AA168:AA176)/COUNT(AA108:AA111,AA113:AA122,AA124:AA145,AA147:AA154,AA156:AA166,AA168:AA176)</f>
        <v>0.47737573869559874</v>
      </c>
      <c r="AB178" s="380"/>
      <c r="AC178" s="381" t="s">
        <v>792</v>
      </c>
      <c r="AD178" s="873">
        <f>SUM(AD108:AD122,AD124:AD145,AD147:AD154,AD156:AD166,AD168:AD176)/COUNT(AD108:AD122,AD124:AD145,AD147:AD154,AD156:AD166,AD168:AD176)</f>
        <v>0</v>
      </c>
      <c r="AE178" s="873">
        <f>SUM(AE108:AE122,AE124:AE145,AE147:AE154,AE156:AE166,AE168:AE176)/COUNT(AE108:AE122,AE124:AE145,AE147:AE154,AE156:AE166,AE168:AE176)</f>
        <v>0</v>
      </c>
      <c r="AF178" s="873">
        <f>SUM(AF108:AF111,AF113:AF122,AF124:AF145,AF147:AF154,AF156:AF166,AF168:AF176)/COUNT(AF108:AF111,AF113:AF122,AF124:AF145,AF147:AF154,AF156:AF166,AF168:AF176)</f>
        <v>0.46090517837730333</v>
      </c>
      <c r="AG178" s="383">
        <f>SUM(AG108:AG111,AG113:AG122,AG124:AG145,AG147:AG154,AG156:AG166,AG168:AG176)/COUNT(AG108:AG111,AG113:AG122,AG124:AG145,AG147:AG154,AG156:AG166,AG168:AG176)</f>
        <v>0.45535225502712384</v>
      </c>
      <c r="AJ178" s="400"/>
      <c r="AK178" s="401" t="e">
        <f>SUM(AK108:AK135)/COUNT(AK108:AK135)</f>
        <v>#REF!</v>
      </c>
      <c r="AL178" s="402"/>
      <c r="AM178" s="400"/>
      <c r="AN178" s="401" t="e">
        <f>SUM(AN108:AN135)/COUNT(AN108:AN135)</f>
        <v>#REF!</v>
      </c>
      <c r="AO178" s="402"/>
      <c r="AP178" s="400"/>
      <c r="AQ178" s="401" t="e">
        <f>SUM(AQ108:AQ135)/COUNT(AQ108:AQ135)</f>
        <v>#REF!</v>
      </c>
      <c r="AR178" s="402"/>
      <c r="AS178" s="400"/>
      <c r="AT178" s="401" t="e">
        <f>SUM(AT108:AT135)/COUNT(AT108:AT135)</f>
        <v>#REF!</v>
      </c>
      <c r="AX178" s="400"/>
      <c r="AY178" s="401" t="e">
        <f>SUM(AY108:AY135)/COUNT(AY108:AY135)</f>
        <v>#REF!</v>
      </c>
      <c r="AZ178" s="402"/>
      <c r="BA178" s="400"/>
      <c r="BB178" s="401" t="e">
        <f>SUM(BB108:BB135)/COUNT(BB108:BB135)</f>
        <v>#REF!</v>
      </c>
      <c r="BC178" s="402"/>
      <c r="BD178" s="400"/>
      <c r="BE178" s="401" t="e">
        <f>SUM(BE108:BE135)/COUNT(BE108:BE135)</f>
        <v>#REF!</v>
      </c>
      <c r="BF178" s="402"/>
      <c r="BG178" s="400"/>
      <c r="BH178" s="401" t="e">
        <f>SUM(BH108:BH135)/COUNT(BH108:BH135)</f>
        <v>#REF!</v>
      </c>
      <c r="BL178" s="400"/>
      <c r="BM178" s="401" t="e">
        <f>SUM(BM108:BM135)/COUNT(BM108:BM135)</f>
        <v>#REF!</v>
      </c>
      <c r="BN178" s="402"/>
      <c r="BO178" s="400"/>
      <c r="BP178" s="401" t="e">
        <f>SUM(BP108:BP135)/COUNT(BP108:BP135)</f>
        <v>#REF!</v>
      </c>
      <c r="BQ178" s="402"/>
      <c r="BR178" s="400"/>
      <c r="BS178" s="401" t="e">
        <f>SUM(BS108:BS135)/COUNT(BS108:BS135)</f>
        <v>#REF!</v>
      </c>
      <c r="BT178" s="402"/>
      <c r="BU178" s="400"/>
      <c r="BV178" s="401" t="e">
        <f>SUM(BV108:BV135)/COUNT(BV108:BV135)</f>
        <v>#REF!</v>
      </c>
      <c r="BZ178" s="400"/>
      <c r="CA178" s="401" t="e">
        <f>SUM(CA108:CA135)/COUNT(CA108:CA135)</f>
        <v>#REF!</v>
      </c>
      <c r="CB178" s="402"/>
      <c r="CC178" s="400"/>
      <c r="CD178" s="401" t="e">
        <f>SUM(CD108:CD135)/COUNT(CD108:CD135)</f>
        <v>#REF!</v>
      </c>
      <c r="CE178" s="402"/>
      <c r="CF178" s="400"/>
      <c r="CG178" s="401" t="e">
        <f>SUM(CG108:CG135)/COUNT(CG108:CG135)</f>
        <v>#REF!</v>
      </c>
      <c r="CH178" s="402"/>
      <c r="CI178" s="400"/>
      <c r="CJ178" s="401" t="e">
        <f>SUM(CJ108:CJ135)/COUNT(CJ108:CJ135)</f>
        <v>#REF!</v>
      </c>
    </row>
    <row r="179" spans="2:90" ht="42.75" x14ac:dyDescent="0.2">
      <c r="B179" s="1151" t="s">
        <v>793</v>
      </c>
      <c r="C179" s="1147" t="s">
        <v>256</v>
      </c>
      <c r="D179" s="403" t="str">
        <f>+'Plan de Accion 2018'!F13</f>
        <v>Procesos y Procedimientos</v>
      </c>
      <c r="E179" s="1175" t="str">
        <f>+'Plan de Accion 2018'!B13</f>
        <v>Dirección de Gestión de Recursos Financieros de Salud</v>
      </c>
      <c r="F179" s="399" t="str">
        <f>+'Plan de Accion 2018'!R13</f>
        <v># procedimientos Aprobados / # Procedimientos identificados</v>
      </c>
      <c r="H179" s="322">
        <f>+'Plan de Accion 2018'!AA13</f>
        <v>0.23170731707317074</v>
      </c>
      <c r="I179" s="929">
        <f>+'Plan de Accion 2018'!BL13</f>
        <v>0.92682926829268297</v>
      </c>
      <c r="J179" s="929">
        <f t="shared" si="36"/>
        <v>0.92682926829268297</v>
      </c>
      <c r="K179" s="929">
        <f>+'Plan de Accion 2018'!AE13</f>
        <v>0.23170731707317074</v>
      </c>
      <c r="L179" s="929">
        <f t="shared" si="37"/>
        <v>0.23170731707317074</v>
      </c>
      <c r="M179" s="931">
        <f t="shared" si="38"/>
        <v>0.23170731707317074</v>
      </c>
      <c r="N179" s="887"/>
      <c r="O179" s="322">
        <f>+'Plan de Accion 2018'!AK13</f>
        <v>0.20212765957446807</v>
      </c>
      <c r="P179" s="892">
        <f>+'Plan de Accion 2018'!BN13</f>
        <v>0.80851063829787229</v>
      </c>
      <c r="Q179" s="870">
        <f t="shared" si="32"/>
        <v>0.80851063829787229</v>
      </c>
      <c r="R179" s="892">
        <f>+'Plan de Accion 2018'!AO13</f>
        <v>0.43383497664763881</v>
      </c>
      <c r="S179" s="892">
        <f t="shared" si="29"/>
        <v>0.43383497664763881</v>
      </c>
      <c r="T179" s="878">
        <f t="shared" si="33"/>
        <v>0.43383497664763881</v>
      </c>
      <c r="U179" s="336"/>
      <c r="V179" s="322">
        <f>+'Plan de Accion 2018'!AU13</f>
        <v>0</v>
      </c>
      <c r="W179" s="892">
        <f>+'Plan de Accion 2018'!BP13</f>
        <v>0</v>
      </c>
      <c r="X179" s="870">
        <f t="shared" si="34"/>
        <v>0</v>
      </c>
      <c r="Y179" s="892">
        <f>+'Plan de Accion 2018'!AY13</f>
        <v>0.43383497664763881</v>
      </c>
      <c r="Z179" s="892">
        <f t="shared" ref="Z179:Z202" si="47">IF(Y179&gt;75%,75%,Y179)</f>
        <v>0.43383497664763881</v>
      </c>
      <c r="AA179" s="878">
        <f t="shared" si="35"/>
        <v>0.43383497664763881</v>
      </c>
      <c r="AB179" s="336"/>
      <c r="AC179" s="322">
        <f>+'Plan de Accion 2018'!BE13</f>
        <v>0</v>
      </c>
      <c r="AD179" s="323">
        <f>+'Plan de Accion 2018'!BR13</f>
        <v>0</v>
      </c>
      <c r="AE179" s="870">
        <f t="shared" si="30"/>
        <v>0</v>
      </c>
      <c r="AF179" s="886">
        <f>+'Plan de Accion 2018'!BI13</f>
        <v>0.43383497664763881</v>
      </c>
      <c r="AG179" s="878">
        <f t="shared" si="31"/>
        <v>0.43383497664763881</v>
      </c>
      <c r="AH179" s="1118"/>
      <c r="AJ179" s="1109"/>
      <c r="AK179" s="1106" t="e">
        <f>+AJ179/#REF!</f>
        <v>#REF!</v>
      </c>
      <c r="AL179" s="321"/>
      <c r="AM179" s="1112"/>
      <c r="AN179" s="1106" t="e">
        <f>+AM179/#REF!</f>
        <v>#REF!</v>
      </c>
      <c r="AO179" s="321"/>
      <c r="AP179" s="1106"/>
      <c r="AQ179" s="1106" t="e">
        <f>+AP179/#REF!</f>
        <v>#REF!</v>
      </c>
      <c r="AR179" s="321"/>
      <c r="AS179" s="1106"/>
      <c r="AT179" s="1106" t="e">
        <f>+AS179/#REF!</f>
        <v>#REF!</v>
      </c>
      <c r="AU179" s="328"/>
      <c r="AV179" s="1115"/>
      <c r="AX179" s="1109"/>
      <c r="AY179" s="1106" t="e">
        <f>+AX179/#REF!</f>
        <v>#REF!</v>
      </c>
      <c r="AZ179" s="321"/>
      <c r="BA179" s="1112"/>
      <c r="BB179" s="1106" t="e">
        <f>+BA179/#REF!</f>
        <v>#REF!</v>
      </c>
      <c r="BC179" s="321"/>
      <c r="BD179" s="1106"/>
      <c r="BE179" s="1106" t="e">
        <f>+BD179/#REF!</f>
        <v>#REF!</v>
      </c>
      <c r="BF179" s="321"/>
      <c r="BG179" s="1106"/>
      <c r="BH179" s="1106" t="e">
        <f>+BG179/#REF!</f>
        <v>#REF!</v>
      </c>
      <c r="BI179" s="328"/>
      <c r="BJ179" s="1115"/>
      <c r="BL179" s="1109"/>
      <c r="BM179" s="1106" t="e">
        <f>+BL179/#REF!</f>
        <v>#REF!</v>
      </c>
      <c r="BN179" s="321"/>
      <c r="BO179" s="1112"/>
      <c r="BP179" s="1106" t="e">
        <f>+BO179/#REF!</f>
        <v>#REF!</v>
      </c>
      <c r="BQ179" s="321"/>
      <c r="BR179" s="1106"/>
      <c r="BS179" s="1106" t="e">
        <f>+BR179/#REF!</f>
        <v>#REF!</v>
      </c>
      <c r="BT179" s="321"/>
      <c r="BU179" s="1106"/>
      <c r="BV179" s="1106" t="e">
        <f>+BU179/#REF!</f>
        <v>#REF!</v>
      </c>
      <c r="BW179" s="328"/>
      <c r="BX179" s="1115"/>
      <c r="BZ179" s="1109"/>
      <c r="CA179" s="1106" t="e">
        <f>+BZ179/#REF!</f>
        <v>#REF!</v>
      </c>
      <c r="CB179" s="321"/>
      <c r="CC179" s="1112"/>
      <c r="CD179" s="1106" t="e">
        <f>+CC179/#REF!</f>
        <v>#REF!</v>
      </c>
      <c r="CE179" s="321"/>
      <c r="CF179" s="1106"/>
      <c r="CG179" s="1106" t="e">
        <f>+CF179/#REF!</f>
        <v>#REF!</v>
      </c>
      <c r="CH179" s="321"/>
      <c r="CI179" s="1106"/>
      <c r="CJ179" s="1106" t="e">
        <f>+CI179/#REF!</f>
        <v>#REF!</v>
      </c>
      <c r="CK179" s="328"/>
      <c r="CL179" s="1115"/>
    </row>
    <row r="180" spans="2:90" ht="42.75" x14ac:dyDescent="0.2">
      <c r="B180" s="1152"/>
      <c r="C180" s="1140"/>
      <c r="D180" s="332" t="str">
        <f>+'Plan de Accion 2018'!F14</f>
        <v>Evaluar la gestión y resultados de los procesos de calidad de la Dependencia</v>
      </c>
      <c r="E180" s="1146"/>
      <c r="F180" s="333" t="str">
        <f>+'Plan de Accion 2018'!R14</f>
        <v># Indicadores Medidos / # Indicadores Sujetos de Medición</v>
      </c>
      <c r="H180" s="776">
        <f>+'Plan de Accion 2018'!AA14</f>
        <v>0</v>
      </c>
      <c r="I180" s="777" t="str">
        <f>+'Plan de Accion 2018'!BL14</f>
        <v>No Prog ni Ejec</v>
      </c>
      <c r="J180" s="777" t="s">
        <v>792</v>
      </c>
      <c r="K180" s="777">
        <f>+'Plan de Accion 2018'!AE14</f>
        <v>0</v>
      </c>
      <c r="L180" s="777">
        <f t="shared" si="37"/>
        <v>0</v>
      </c>
      <c r="M180" s="1391" t="s">
        <v>792</v>
      </c>
      <c r="N180" s="887"/>
      <c r="O180" s="776">
        <f>+'Plan de Accion 2018'!AK14</f>
        <v>0</v>
      </c>
      <c r="P180" s="777" t="str">
        <f>+'Plan de Accion 2018'!BN14</f>
        <v>No Prog ni Ejec</v>
      </c>
      <c r="Q180" s="870" t="s">
        <v>792</v>
      </c>
      <c r="R180" s="892">
        <f>+'Plan de Accion 2018'!AO14</f>
        <v>0</v>
      </c>
      <c r="S180" s="892">
        <f t="shared" si="29"/>
        <v>0</v>
      </c>
      <c r="T180" s="878" t="s">
        <v>792</v>
      </c>
      <c r="U180" s="336"/>
      <c r="V180" s="776">
        <f>+'Plan de Accion 2018'!AU14</f>
        <v>0</v>
      </c>
      <c r="W180" s="777" t="str">
        <f>+'Plan de Accion 2018'!BP14</f>
        <v>No Prog ni Ejec</v>
      </c>
      <c r="X180" s="870" t="s">
        <v>792</v>
      </c>
      <c r="Y180" s="777">
        <f>+'Plan de Accion 2018'!AY14</f>
        <v>0</v>
      </c>
      <c r="Z180" s="892">
        <f t="shared" si="47"/>
        <v>0</v>
      </c>
      <c r="AA180" s="878" t="s">
        <v>792</v>
      </c>
      <c r="AB180" s="336"/>
      <c r="AC180" s="330">
        <f>+'Plan de Accion 2018'!BE14</f>
        <v>0</v>
      </c>
      <c r="AD180" s="331">
        <f>+'Plan de Accion 2018'!BR14</f>
        <v>0</v>
      </c>
      <c r="AE180" s="870">
        <f t="shared" si="30"/>
        <v>0</v>
      </c>
      <c r="AF180" s="777">
        <f>+'Plan de Accion 2018'!BI14</f>
        <v>0</v>
      </c>
      <c r="AG180" s="878">
        <f t="shared" si="31"/>
        <v>0</v>
      </c>
      <c r="AH180" s="1119"/>
      <c r="AJ180" s="1110"/>
      <c r="AK180" s="1107"/>
      <c r="AL180" s="321"/>
      <c r="AM180" s="1113"/>
      <c r="AN180" s="1107"/>
      <c r="AO180" s="321"/>
      <c r="AP180" s="1107"/>
      <c r="AQ180" s="1107"/>
      <c r="AR180" s="321"/>
      <c r="AS180" s="1107"/>
      <c r="AT180" s="1107"/>
      <c r="AU180" s="328"/>
      <c r="AV180" s="1116"/>
      <c r="AX180" s="1110"/>
      <c r="AY180" s="1107"/>
      <c r="AZ180" s="321"/>
      <c r="BA180" s="1113"/>
      <c r="BB180" s="1107"/>
      <c r="BC180" s="321"/>
      <c r="BD180" s="1107"/>
      <c r="BE180" s="1107"/>
      <c r="BF180" s="321"/>
      <c r="BG180" s="1107"/>
      <c r="BH180" s="1107"/>
      <c r="BI180" s="328"/>
      <c r="BJ180" s="1116"/>
      <c r="BL180" s="1110"/>
      <c r="BM180" s="1107"/>
      <c r="BN180" s="321"/>
      <c r="BO180" s="1113"/>
      <c r="BP180" s="1107"/>
      <c r="BQ180" s="321"/>
      <c r="BR180" s="1107"/>
      <c r="BS180" s="1107"/>
      <c r="BT180" s="321"/>
      <c r="BU180" s="1107"/>
      <c r="BV180" s="1107"/>
      <c r="BW180" s="328"/>
      <c r="BX180" s="1116"/>
      <c r="BZ180" s="1110"/>
      <c r="CA180" s="1107"/>
      <c r="CB180" s="321"/>
      <c r="CC180" s="1113"/>
      <c r="CD180" s="1107"/>
      <c r="CE180" s="321"/>
      <c r="CF180" s="1107"/>
      <c r="CG180" s="1107"/>
      <c r="CH180" s="321"/>
      <c r="CI180" s="1107"/>
      <c r="CJ180" s="1107"/>
      <c r="CK180" s="328"/>
      <c r="CL180" s="1116"/>
    </row>
    <row r="181" spans="2:90" ht="42.75" x14ac:dyDescent="0.2">
      <c r="B181" s="1152"/>
      <c r="C181" s="1140"/>
      <c r="D181" s="334" t="str">
        <f>+'Plan de Accion 2018'!F46</f>
        <v>Procesos y Procedimientos</v>
      </c>
      <c r="E181" s="1146" t="str">
        <f>+'Plan de Accion 2018'!B46</f>
        <v>Dirección de Liquidaciones y Garantías</v>
      </c>
      <c r="F181" s="333" t="str">
        <f>+'Plan de Accion 2018'!R46</f>
        <v># procedimientos Aprobados / # Procedimientos identificados</v>
      </c>
      <c r="H181" s="776">
        <f>+'Plan de Accion 2018'!AA46</f>
        <v>0.94285714285714284</v>
      </c>
      <c r="I181" s="777">
        <f>+'Plan de Accion 2018'!BL46</f>
        <v>3.7714285714285714</v>
      </c>
      <c r="J181" s="777">
        <f t="shared" si="36"/>
        <v>1</v>
      </c>
      <c r="K181" s="777">
        <f>+'Plan de Accion 2018'!AE46</f>
        <v>0.94285714285714284</v>
      </c>
      <c r="L181" s="777">
        <f t="shared" si="37"/>
        <v>0.25</v>
      </c>
      <c r="M181" s="1391">
        <f t="shared" si="38"/>
        <v>0.25</v>
      </c>
      <c r="N181" s="887">
        <v>1</v>
      </c>
      <c r="O181" s="776">
        <f>+'Plan de Accion 2018'!AK46</f>
        <v>6.0606060606060608E-2</v>
      </c>
      <c r="P181" s="777">
        <f>+'Plan de Accion 2018'!BN46</f>
        <v>0.24242424242424243</v>
      </c>
      <c r="Q181" s="870">
        <f t="shared" si="32"/>
        <v>0.24242424242424243</v>
      </c>
      <c r="R181" s="892">
        <f>+'Plan de Accion 2018'!AO46</f>
        <v>1.0034632034632034</v>
      </c>
      <c r="S181" s="892">
        <f>+R181</f>
        <v>1.0034632034632034</v>
      </c>
      <c r="T181" s="878">
        <f t="shared" si="33"/>
        <v>1.0034632034632034</v>
      </c>
      <c r="U181" s="336"/>
      <c r="V181" s="776">
        <f>+'Plan de Accion 2018'!AU46</f>
        <v>0</v>
      </c>
      <c r="W181" s="777">
        <f>+'Plan de Accion 2018'!BP46</f>
        <v>0</v>
      </c>
      <c r="X181" s="870">
        <f t="shared" si="34"/>
        <v>0</v>
      </c>
      <c r="Y181" s="777">
        <f>+'Plan de Accion 2018'!AY46</f>
        <v>1.0034632034632034</v>
      </c>
      <c r="Z181" s="892">
        <f>+Y181</f>
        <v>1.0034632034632034</v>
      </c>
      <c r="AA181" s="878">
        <f t="shared" si="35"/>
        <v>1.0034632034632034</v>
      </c>
      <c r="AB181" s="336"/>
      <c r="AC181" s="330">
        <f>+'Plan de Accion 2018'!BE46</f>
        <v>0</v>
      </c>
      <c r="AD181" s="331">
        <f>+'Plan de Accion 2018'!BR46</f>
        <v>0</v>
      </c>
      <c r="AE181" s="870">
        <f t="shared" si="30"/>
        <v>0</v>
      </c>
      <c r="AF181" s="777">
        <f>+'Plan de Accion 2018'!BI46</f>
        <v>1.0034632034632034</v>
      </c>
      <c r="AG181" s="878">
        <f t="shared" si="31"/>
        <v>1</v>
      </c>
      <c r="AH181" s="1119"/>
      <c r="AJ181" s="1110"/>
      <c r="AK181" s="1107"/>
      <c r="AL181" s="321"/>
      <c r="AM181" s="1113"/>
      <c r="AN181" s="1107"/>
      <c r="AO181" s="321"/>
      <c r="AP181" s="1107"/>
      <c r="AQ181" s="1107"/>
      <c r="AR181" s="321"/>
      <c r="AS181" s="1107"/>
      <c r="AT181" s="1107"/>
      <c r="AU181" s="328"/>
      <c r="AV181" s="1116"/>
      <c r="AX181" s="1110"/>
      <c r="AY181" s="1107"/>
      <c r="AZ181" s="321"/>
      <c r="BA181" s="1113"/>
      <c r="BB181" s="1107"/>
      <c r="BC181" s="321"/>
      <c r="BD181" s="1107"/>
      <c r="BE181" s="1107"/>
      <c r="BF181" s="321"/>
      <c r="BG181" s="1107"/>
      <c r="BH181" s="1107"/>
      <c r="BI181" s="328"/>
      <c r="BJ181" s="1116"/>
      <c r="BL181" s="1110"/>
      <c r="BM181" s="1107"/>
      <c r="BN181" s="321"/>
      <c r="BO181" s="1113"/>
      <c r="BP181" s="1107"/>
      <c r="BQ181" s="321"/>
      <c r="BR181" s="1107"/>
      <c r="BS181" s="1107"/>
      <c r="BT181" s="321"/>
      <c r="BU181" s="1107"/>
      <c r="BV181" s="1107"/>
      <c r="BW181" s="328"/>
      <c r="BX181" s="1116"/>
      <c r="BZ181" s="1110"/>
      <c r="CA181" s="1107"/>
      <c r="CB181" s="321"/>
      <c r="CC181" s="1113"/>
      <c r="CD181" s="1107"/>
      <c r="CE181" s="321"/>
      <c r="CF181" s="1107"/>
      <c r="CG181" s="1107"/>
      <c r="CH181" s="321"/>
      <c r="CI181" s="1107"/>
      <c r="CJ181" s="1107"/>
      <c r="CK181" s="328"/>
      <c r="CL181" s="1116"/>
    </row>
    <row r="182" spans="2:90" ht="42.75" x14ac:dyDescent="0.2">
      <c r="B182" s="1152"/>
      <c r="C182" s="1140"/>
      <c r="D182" s="332" t="str">
        <f>+'Plan de Accion 2018'!F47</f>
        <v>Evaluar la gestión y resultados de los procesos de calidad de la Dependencia</v>
      </c>
      <c r="E182" s="1146"/>
      <c r="F182" s="333" t="str">
        <f>+'Plan de Accion 2018'!R47</f>
        <v># Indicadores Medidos / # Indicadores Sujetos de Medición</v>
      </c>
      <c r="H182" s="776">
        <f>+'Plan de Accion 2018'!AA47</f>
        <v>0</v>
      </c>
      <c r="I182" s="777" t="str">
        <f>+'Plan de Accion 2018'!BL47</f>
        <v>No Prog ni Ejec</v>
      </c>
      <c r="J182" s="777" t="s">
        <v>792</v>
      </c>
      <c r="K182" s="777">
        <f>+'Plan de Accion 2018'!AE47</f>
        <v>0</v>
      </c>
      <c r="L182" s="777">
        <f t="shared" si="37"/>
        <v>0</v>
      </c>
      <c r="M182" s="1391" t="s">
        <v>792</v>
      </c>
      <c r="N182" s="887"/>
      <c r="O182" s="776">
        <f>+'Plan de Accion 2018'!AK47</f>
        <v>0</v>
      </c>
      <c r="P182" s="777" t="str">
        <f>+'Plan de Accion 2018'!BN47</f>
        <v>No Prog ni Ejec</v>
      </c>
      <c r="Q182" s="870" t="s">
        <v>792</v>
      </c>
      <c r="R182" s="892">
        <f>+'Plan de Accion 2018'!AO47</f>
        <v>0</v>
      </c>
      <c r="S182" s="892">
        <f t="shared" si="29"/>
        <v>0</v>
      </c>
      <c r="T182" s="878" t="s">
        <v>792</v>
      </c>
      <c r="U182" s="336"/>
      <c r="V182" s="776">
        <f>+'Plan de Accion 2018'!AU47</f>
        <v>0</v>
      </c>
      <c r="W182" s="777" t="str">
        <f>+'Plan de Accion 2018'!BP47</f>
        <v>No Prog ni Ejec</v>
      </c>
      <c r="X182" s="870" t="s">
        <v>792</v>
      </c>
      <c r="Y182" s="777">
        <f>+'Plan de Accion 2018'!AY47</f>
        <v>0</v>
      </c>
      <c r="Z182" s="892">
        <f t="shared" si="47"/>
        <v>0</v>
      </c>
      <c r="AA182" s="878" t="s">
        <v>792</v>
      </c>
      <c r="AB182" s="336"/>
      <c r="AC182" s="330">
        <f>+'Plan de Accion 2018'!BE47</f>
        <v>0</v>
      </c>
      <c r="AD182" s="331">
        <f>+'Plan de Accion 2018'!BR47</f>
        <v>0</v>
      </c>
      <c r="AE182" s="870">
        <f t="shared" si="30"/>
        <v>0</v>
      </c>
      <c r="AF182" s="777">
        <f>+'Plan de Accion 2018'!BI47</f>
        <v>0</v>
      </c>
      <c r="AG182" s="878">
        <f t="shared" si="31"/>
        <v>0</v>
      </c>
      <c r="AH182" s="1119"/>
      <c r="AJ182" s="1110"/>
      <c r="AK182" s="1107"/>
      <c r="AL182" s="321"/>
      <c r="AM182" s="1113"/>
      <c r="AN182" s="1107"/>
      <c r="AO182" s="321"/>
      <c r="AP182" s="1107"/>
      <c r="AQ182" s="1107"/>
      <c r="AR182" s="321"/>
      <c r="AS182" s="1107"/>
      <c r="AT182" s="1107"/>
      <c r="AU182" s="328"/>
      <c r="AV182" s="1116"/>
      <c r="AX182" s="1110"/>
      <c r="AY182" s="1107"/>
      <c r="AZ182" s="321"/>
      <c r="BA182" s="1113"/>
      <c r="BB182" s="1107"/>
      <c r="BC182" s="321"/>
      <c r="BD182" s="1107"/>
      <c r="BE182" s="1107"/>
      <c r="BF182" s="321"/>
      <c r="BG182" s="1107"/>
      <c r="BH182" s="1107"/>
      <c r="BI182" s="328"/>
      <c r="BJ182" s="1116"/>
      <c r="BL182" s="1110"/>
      <c r="BM182" s="1107"/>
      <c r="BN182" s="321"/>
      <c r="BO182" s="1113"/>
      <c r="BP182" s="1107"/>
      <c r="BQ182" s="321"/>
      <c r="BR182" s="1107"/>
      <c r="BS182" s="1107"/>
      <c r="BT182" s="321"/>
      <c r="BU182" s="1107"/>
      <c r="BV182" s="1107"/>
      <c r="BW182" s="328"/>
      <c r="BX182" s="1116"/>
      <c r="BZ182" s="1110"/>
      <c r="CA182" s="1107"/>
      <c r="CB182" s="321"/>
      <c r="CC182" s="1113"/>
      <c r="CD182" s="1107"/>
      <c r="CE182" s="321"/>
      <c r="CF182" s="1107"/>
      <c r="CG182" s="1107"/>
      <c r="CH182" s="321"/>
      <c r="CI182" s="1107"/>
      <c r="CJ182" s="1107"/>
      <c r="CK182" s="328"/>
      <c r="CL182" s="1116"/>
    </row>
    <row r="183" spans="2:90" ht="43.5" thickBot="1" x14ac:dyDescent="0.25">
      <c r="B183" s="1152"/>
      <c r="C183" s="1140"/>
      <c r="D183" s="334" t="str">
        <f>+'Plan de Accion 2018'!F65</f>
        <v>Procesos y Procedimientos</v>
      </c>
      <c r="E183" s="1146" t="str">
        <f>+'Plan de Accion 2018'!B65</f>
        <v xml:space="preserve">Dirección de Otras Prestaciones  </v>
      </c>
      <c r="F183" s="333" t="str">
        <f>+'Plan de Accion 2018'!R65</f>
        <v># procedimientos Aprobados / # Procedimientos identificados</v>
      </c>
      <c r="H183" s="776">
        <f>+'Plan de Accion 2018'!AA65</f>
        <v>1</v>
      </c>
      <c r="I183" s="777">
        <f>+'Plan de Accion 2018'!BL65</f>
        <v>4</v>
      </c>
      <c r="J183" s="777">
        <f t="shared" si="36"/>
        <v>1</v>
      </c>
      <c r="K183" s="777">
        <f>+'Plan de Accion 2018'!AE65</f>
        <v>1</v>
      </c>
      <c r="L183" s="777">
        <f t="shared" si="37"/>
        <v>0.25</v>
      </c>
      <c r="M183" s="1391">
        <f t="shared" si="38"/>
        <v>0.25</v>
      </c>
      <c r="N183" s="887">
        <v>1</v>
      </c>
      <c r="O183" s="776">
        <f>+'Plan de Accion 2018'!AK65</f>
        <v>0</v>
      </c>
      <c r="P183" s="777">
        <f>+'Plan de Accion 2018'!BN65</f>
        <v>0</v>
      </c>
      <c r="Q183" s="870">
        <f t="shared" si="32"/>
        <v>0</v>
      </c>
      <c r="R183" s="892">
        <f>+'Plan de Accion 2018'!AO65</f>
        <v>1</v>
      </c>
      <c r="S183" s="892">
        <f>+R183</f>
        <v>1</v>
      </c>
      <c r="T183" s="878">
        <f t="shared" si="33"/>
        <v>1</v>
      </c>
      <c r="U183" s="336"/>
      <c r="V183" s="776">
        <f>+'Plan de Accion 2018'!AU65</f>
        <v>0</v>
      </c>
      <c r="W183" s="777">
        <f>+'Plan de Accion 2018'!BP65</f>
        <v>0</v>
      </c>
      <c r="X183" s="870">
        <f t="shared" si="34"/>
        <v>0</v>
      </c>
      <c r="Y183" s="777">
        <f>+'Plan de Accion 2018'!AY65</f>
        <v>1</v>
      </c>
      <c r="Z183" s="892">
        <f>+Y183</f>
        <v>1</v>
      </c>
      <c r="AA183" s="878">
        <f t="shared" si="35"/>
        <v>1</v>
      </c>
      <c r="AB183" s="336"/>
      <c r="AC183" s="330">
        <f>+'Plan de Accion 2018'!BE65</f>
        <v>0</v>
      </c>
      <c r="AD183" s="331">
        <f>+'Plan de Accion 2018'!BR65</f>
        <v>0</v>
      </c>
      <c r="AE183" s="870">
        <f t="shared" si="30"/>
        <v>0</v>
      </c>
      <c r="AF183" s="777">
        <f>+'Plan de Accion 2018'!BI65</f>
        <v>1</v>
      </c>
      <c r="AG183" s="878">
        <f t="shared" si="31"/>
        <v>1</v>
      </c>
      <c r="AH183" s="1120"/>
      <c r="AJ183" s="1111"/>
      <c r="AK183" s="1108"/>
      <c r="AL183" s="321"/>
      <c r="AM183" s="1114"/>
      <c r="AN183" s="1108"/>
      <c r="AO183" s="321"/>
      <c r="AP183" s="1108"/>
      <c r="AQ183" s="1108"/>
      <c r="AR183" s="321"/>
      <c r="AS183" s="1108"/>
      <c r="AT183" s="1108"/>
      <c r="AU183" s="328"/>
      <c r="AV183" s="1117"/>
      <c r="AX183" s="1111"/>
      <c r="AY183" s="1108"/>
      <c r="AZ183" s="321"/>
      <c r="BA183" s="1114"/>
      <c r="BB183" s="1108"/>
      <c r="BC183" s="321"/>
      <c r="BD183" s="1108"/>
      <c r="BE183" s="1108"/>
      <c r="BF183" s="321"/>
      <c r="BG183" s="1108"/>
      <c r="BH183" s="1108"/>
      <c r="BI183" s="328"/>
      <c r="BJ183" s="1117"/>
      <c r="BL183" s="1111"/>
      <c r="BM183" s="1108"/>
      <c r="BN183" s="321"/>
      <c r="BO183" s="1114"/>
      <c r="BP183" s="1108"/>
      <c r="BQ183" s="321"/>
      <c r="BR183" s="1108"/>
      <c r="BS183" s="1108"/>
      <c r="BT183" s="321"/>
      <c r="BU183" s="1108"/>
      <c r="BV183" s="1108"/>
      <c r="BW183" s="328"/>
      <c r="BX183" s="1117"/>
      <c r="BZ183" s="1111"/>
      <c r="CA183" s="1108"/>
      <c r="CB183" s="321"/>
      <c r="CC183" s="1114"/>
      <c r="CD183" s="1108"/>
      <c r="CE183" s="321"/>
      <c r="CF183" s="1108"/>
      <c r="CG183" s="1108"/>
      <c r="CH183" s="321"/>
      <c r="CI183" s="1108"/>
      <c r="CJ183" s="1108"/>
      <c r="CK183" s="328"/>
      <c r="CL183" s="1117"/>
    </row>
    <row r="184" spans="2:90" ht="42.75" x14ac:dyDescent="0.2">
      <c r="B184" s="1152"/>
      <c r="C184" s="1140"/>
      <c r="D184" s="332" t="str">
        <f>+'Plan de Accion 2018'!F66</f>
        <v>Evaluar la gestión y resultados de los procesos de calidad de la Dependencia</v>
      </c>
      <c r="E184" s="1146"/>
      <c r="F184" s="333" t="str">
        <f>+'Plan de Accion 2018'!R66</f>
        <v># Indicadores Medidos / # Indicadores Sujetos de Medición</v>
      </c>
      <c r="H184" s="776">
        <f>+'Plan de Accion 2018'!AA66</f>
        <v>0</v>
      </c>
      <c r="I184" s="777" t="str">
        <f>+'Plan de Accion 2018'!BL66</f>
        <v>No Prog ni Ejec</v>
      </c>
      <c r="J184" s="777" t="s">
        <v>792</v>
      </c>
      <c r="K184" s="777">
        <f>+'Plan de Accion 2018'!AE66</f>
        <v>0</v>
      </c>
      <c r="L184" s="777">
        <f t="shared" si="37"/>
        <v>0</v>
      </c>
      <c r="M184" s="1391" t="s">
        <v>792</v>
      </c>
      <c r="N184" s="887"/>
      <c r="O184" s="776">
        <f>+'Plan de Accion 2018'!AK66</f>
        <v>0</v>
      </c>
      <c r="P184" s="777" t="str">
        <f>+'Plan de Accion 2018'!BN66</f>
        <v>No Prog ni Ejec</v>
      </c>
      <c r="Q184" s="870" t="s">
        <v>792</v>
      </c>
      <c r="R184" s="892">
        <f>+'Plan de Accion 2018'!AO66</f>
        <v>0</v>
      </c>
      <c r="S184" s="892">
        <f t="shared" si="29"/>
        <v>0</v>
      </c>
      <c r="T184" s="878" t="s">
        <v>792</v>
      </c>
      <c r="U184" s="336"/>
      <c r="V184" s="776">
        <f>+'Plan de Accion 2018'!AU66</f>
        <v>0</v>
      </c>
      <c r="W184" s="777" t="str">
        <f>+'Plan de Accion 2018'!BP66</f>
        <v>No Prog ni Ejec</v>
      </c>
      <c r="X184" s="870" t="s">
        <v>792</v>
      </c>
      <c r="Y184" s="777">
        <f>+'Plan de Accion 2018'!AY66</f>
        <v>0</v>
      </c>
      <c r="Z184" s="892">
        <f t="shared" si="47"/>
        <v>0</v>
      </c>
      <c r="AA184" s="878" t="s">
        <v>792</v>
      </c>
      <c r="AB184" s="336"/>
      <c r="AC184" s="330">
        <f>+'Plan de Accion 2018'!BE66</f>
        <v>0</v>
      </c>
      <c r="AD184" s="331">
        <f>+'Plan de Accion 2018'!BR66</f>
        <v>0</v>
      </c>
      <c r="AE184" s="870">
        <f t="shared" si="30"/>
        <v>0</v>
      </c>
      <c r="AF184" s="777">
        <f>+'Plan de Accion 2018'!BI66</f>
        <v>0</v>
      </c>
      <c r="AG184" s="878">
        <f t="shared" si="31"/>
        <v>0</v>
      </c>
      <c r="AH184" s="1118"/>
      <c r="AJ184" s="1106"/>
      <c r="AK184" s="1106"/>
      <c r="AL184" s="321"/>
      <c r="AM184" s="1112"/>
      <c r="AN184" s="1106"/>
      <c r="AO184" s="321"/>
      <c r="AP184" s="1106"/>
      <c r="AQ184" s="1106"/>
      <c r="AR184" s="321"/>
      <c r="AS184" s="1106"/>
      <c r="AT184" s="1106"/>
      <c r="AU184" s="328"/>
      <c r="AV184" s="1115"/>
      <c r="AX184" s="1106"/>
      <c r="AY184" s="1106"/>
      <c r="AZ184" s="321"/>
      <c r="BA184" s="1112"/>
      <c r="BB184" s="1106"/>
      <c r="BC184" s="321"/>
      <c r="BD184" s="1106"/>
      <c r="BE184" s="1106"/>
      <c r="BF184" s="321"/>
      <c r="BG184" s="1106"/>
      <c r="BH184" s="1106"/>
      <c r="BI184" s="328"/>
      <c r="BJ184" s="1115"/>
      <c r="BL184" s="1106"/>
      <c r="BM184" s="1106"/>
      <c r="BN184" s="321"/>
      <c r="BO184" s="1112"/>
      <c r="BP184" s="1106"/>
      <c r="BQ184" s="321"/>
      <c r="BR184" s="1106"/>
      <c r="BS184" s="1106"/>
      <c r="BT184" s="321"/>
      <c r="BU184" s="1106"/>
      <c r="BV184" s="1106"/>
      <c r="BW184" s="328"/>
      <c r="BX184" s="1115"/>
      <c r="BZ184" s="1106"/>
      <c r="CA184" s="1106"/>
      <c r="CB184" s="321"/>
      <c r="CC184" s="1112"/>
      <c r="CD184" s="1106"/>
      <c r="CE184" s="321"/>
      <c r="CF184" s="1106"/>
      <c r="CG184" s="1106"/>
      <c r="CH184" s="321"/>
      <c r="CI184" s="1106"/>
      <c r="CJ184" s="1106"/>
      <c r="CK184" s="328"/>
      <c r="CL184" s="1115"/>
    </row>
    <row r="185" spans="2:90" ht="42.75" x14ac:dyDescent="0.2">
      <c r="B185" s="1152"/>
      <c r="C185" s="1140"/>
      <c r="D185" s="332" t="str">
        <f>+'Plan de Accion 2018'!F77</f>
        <v>Procesos y Procedimientos</v>
      </c>
      <c r="E185" s="1146" t="str">
        <f>+'Plan de Accion 2018'!B77</f>
        <v>Dirección de Gestión de Tecnología de la Información y la Comunicación</v>
      </c>
      <c r="F185" s="333" t="str">
        <f>+'Plan de Accion 2018'!R77</f>
        <v># Procedimientos Aprobados / # Procedimientos identificados</v>
      </c>
      <c r="H185" s="776">
        <f>+'Plan de Accion 2018'!AA77</f>
        <v>0.46150000000000002</v>
      </c>
      <c r="I185" s="777">
        <f>+'Plan de Accion 2018'!BL77</f>
        <v>1.8460000000000001</v>
      </c>
      <c r="J185" s="777">
        <f t="shared" si="36"/>
        <v>1</v>
      </c>
      <c r="K185" s="777">
        <f>+'Plan de Accion 2018'!AE77</f>
        <v>0.46150000000000002</v>
      </c>
      <c r="L185" s="777">
        <f t="shared" si="37"/>
        <v>0.25</v>
      </c>
      <c r="M185" s="1391">
        <f t="shared" si="38"/>
        <v>0.25</v>
      </c>
      <c r="N185" s="887">
        <v>1</v>
      </c>
      <c r="O185" s="776">
        <f>+'Plan de Accion 2018'!AK77</f>
        <v>0.53846153846153844</v>
      </c>
      <c r="P185" s="777">
        <f>+'Plan de Accion 2018'!BN77</f>
        <v>2.1538461538461537</v>
      </c>
      <c r="Q185" s="870">
        <f t="shared" si="32"/>
        <v>1</v>
      </c>
      <c r="R185" s="892">
        <f>+'Plan de Accion 2018'!AO77</f>
        <v>0.99996153846153846</v>
      </c>
      <c r="S185" s="892">
        <f>+R185</f>
        <v>0.99996153846153846</v>
      </c>
      <c r="T185" s="878">
        <f t="shared" si="33"/>
        <v>0.99996153846153846</v>
      </c>
      <c r="U185" s="887">
        <v>1</v>
      </c>
      <c r="V185" s="776">
        <f>+'Plan de Accion 2018'!AU77</f>
        <v>0</v>
      </c>
      <c r="W185" s="777">
        <f>+'Plan de Accion 2018'!BP77</f>
        <v>0</v>
      </c>
      <c r="X185" s="870">
        <f t="shared" si="34"/>
        <v>0</v>
      </c>
      <c r="Y185" s="777">
        <f>+'Plan de Accion 2018'!AY77</f>
        <v>0.99996153846153846</v>
      </c>
      <c r="Z185" s="892">
        <f>+Y185</f>
        <v>0.99996153846153846</v>
      </c>
      <c r="AA185" s="878">
        <f t="shared" si="35"/>
        <v>0.99996153846153846</v>
      </c>
      <c r="AB185" s="336"/>
      <c r="AC185" s="330">
        <f>+'Plan de Accion 2018'!BE77</f>
        <v>0</v>
      </c>
      <c r="AD185" s="331">
        <f>+'Plan de Accion 2018'!BR77</f>
        <v>0</v>
      </c>
      <c r="AE185" s="870">
        <f t="shared" si="30"/>
        <v>0</v>
      </c>
      <c r="AF185" s="777">
        <f>+'Plan de Accion 2018'!BI77</f>
        <v>0.99996153846153846</v>
      </c>
      <c r="AG185" s="878">
        <f t="shared" si="31"/>
        <v>0.99996153846153846</v>
      </c>
      <c r="AH185" s="1119"/>
      <c r="AJ185" s="1107"/>
      <c r="AK185" s="1107"/>
      <c r="AL185" s="321"/>
      <c r="AM185" s="1113"/>
      <c r="AN185" s="1107"/>
      <c r="AO185" s="321"/>
      <c r="AP185" s="1107"/>
      <c r="AQ185" s="1107"/>
      <c r="AR185" s="321"/>
      <c r="AS185" s="1107"/>
      <c r="AT185" s="1107"/>
      <c r="AU185" s="328"/>
      <c r="AV185" s="1116"/>
      <c r="AX185" s="1107"/>
      <c r="AY185" s="1107"/>
      <c r="AZ185" s="321"/>
      <c r="BA185" s="1113"/>
      <c r="BB185" s="1107"/>
      <c r="BC185" s="321"/>
      <c r="BD185" s="1107"/>
      <c r="BE185" s="1107"/>
      <c r="BF185" s="321"/>
      <c r="BG185" s="1107"/>
      <c r="BH185" s="1107"/>
      <c r="BI185" s="328"/>
      <c r="BJ185" s="1116"/>
      <c r="BL185" s="1107"/>
      <c r="BM185" s="1107"/>
      <c r="BN185" s="321"/>
      <c r="BO185" s="1113"/>
      <c r="BP185" s="1107"/>
      <c r="BQ185" s="321"/>
      <c r="BR185" s="1107"/>
      <c r="BS185" s="1107"/>
      <c r="BT185" s="321"/>
      <c r="BU185" s="1107"/>
      <c r="BV185" s="1107"/>
      <c r="BW185" s="328"/>
      <c r="BX185" s="1116"/>
      <c r="BZ185" s="1107"/>
      <c r="CA185" s="1107"/>
      <c r="CB185" s="321"/>
      <c r="CC185" s="1113"/>
      <c r="CD185" s="1107"/>
      <c r="CE185" s="321"/>
      <c r="CF185" s="1107"/>
      <c r="CG185" s="1107"/>
      <c r="CH185" s="321"/>
      <c r="CI185" s="1107"/>
      <c r="CJ185" s="1107"/>
      <c r="CK185" s="328"/>
      <c r="CL185" s="1116"/>
    </row>
    <row r="186" spans="2:90" ht="43.5" thickBot="1" x14ac:dyDescent="0.25">
      <c r="B186" s="1152"/>
      <c r="C186" s="1140"/>
      <c r="D186" s="332" t="str">
        <f>+'Plan de Accion 2018'!F78</f>
        <v>Evaluar la gestión y resultados de los procesos de calidad de la Dependencia</v>
      </c>
      <c r="E186" s="1146"/>
      <c r="F186" s="333" t="str">
        <f>+'Plan de Accion 2018'!R78</f>
        <v># Informes Publicados / # Informes Proyectados a Publicar</v>
      </c>
      <c r="H186" s="776">
        <f>+'Plan de Accion 2018'!AA78</f>
        <v>0</v>
      </c>
      <c r="I186" s="777" t="str">
        <f>+'Plan de Accion 2018'!BL78</f>
        <v>No Prog ni Ejec</v>
      </c>
      <c r="J186" s="777" t="s">
        <v>792</v>
      </c>
      <c r="K186" s="777">
        <f>+'Plan de Accion 2018'!AE78</f>
        <v>0</v>
      </c>
      <c r="L186" s="777">
        <f t="shared" si="37"/>
        <v>0</v>
      </c>
      <c r="M186" s="1391" t="s">
        <v>792</v>
      </c>
      <c r="N186" s="887"/>
      <c r="O186" s="776">
        <f>+'Plan de Accion 2018'!AK78</f>
        <v>0</v>
      </c>
      <c r="P186" s="777" t="str">
        <f>+'Plan de Accion 2018'!BN78</f>
        <v>No Prog ni Ejec</v>
      </c>
      <c r="Q186" s="870" t="s">
        <v>792</v>
      </c>
      <c r="R186" s="892">
        <f>+'Plan de Accion 2018'!AO78</f>
        <v>0</v>
      </c>
      <c r="S186" s="892">
        <f t="shared" si="29"/>
        <v>0</v>
      </c>
      <c r="T186" s="878" t="s">
        <v>792</v>
      </c>
      <c r="U186" s="336"/>
      <c r="V186" s="776">
        <f>+'Plan de Accion 2018'!AU78</f>
        <v>0</v>
      </c>
      <c r="W186" s="777" t="str">
        <f>+'Plan de Accion 2018'!BP78</f>
        <v>No Prog ni Ejec</v>
      </c>
      <c r="X186" s="870" t="s">
        <v>792</v>
      </c>
      <c r="Y186" s="777">
        <f>+'Plan de Accion 2018'!AY78</f>
        <v>0</v>
      </c>
      <c r="Z186" s="892">
        <f t="shared" si="47"/>
        <v>0</v>
      </c>
      <c r="AA186" s="878" t="s">
        <v>792</v>
      </c>
      <c r="AB186" s="336"/>
      <c r="AC186" s="330">
        <f>+'Plan de Accion 2018'!BE78</f>
        <v>0</v>
      </c>
      <c r="AD186" s="331">
        <f>+'Plan de Accion 2018'!BR78</f>
        <v>0</v>
      </c>
      <c r="AE186" s="870">
        <f t="shared" si="30"/>
        <v>0</v>
      </c>
      <c r="AF186" s="777">
        <f>+'Plan de Accion 2018'!BI78</f>
        <v>0</v>
      </c>
      <c r="AG186" s="878">
        <f t="shared" si="31"/>
        <v>0</v>
      </c>
      <c r="AH186" s="1120"/>
      <c r="AJ186" s="1108"/>
      <c r="AK186" s="1108"/>
      <c r="AL186" s="321"/>
      <c r="AM186" s="1114"/>
      <c r="AN186" s="1108"/>
      <c r="AO186" s="321"/>
      <c r="AP186" s="1108"/>
      <c r="AQ186" s="1108"/>
      <c r="AR186" s="321"/>
      <c r="AS186" s="1108"/>
      <c r="AT186" s="1108"/>
      <c r="AU186" s="328"/>
      <c r="AV186" s="1117"/>
      <c r="AX186" s="1108"/>
      <c r="AY186" s="1108"/>
      <c r="AZ186" s="321"/>
      <c r="BA186" s="1114"/>
      <c r="BB186" s="1108"/>
      <c r="BC186" s="321"/>
      <c r="BD186" s="1108"/>
      <c r="BE186" s="1108"/>
      <c r="BF186" s="321"/>
      <c r="BG186" s="1108"/>
      <c r="BH186" s="1108"/>
      <c r="BI186" s="328"/>
      <c r="BJ186" s="1117"/>
      <c r="BL186" s="1108"/>
      <c r="BM186" s="1108"/>
      <c r="BN186" s="321"/>
      <c r="BO186" s="1114"/>
      <c r="BP186" s="1108"/>
      <c r="BQ186" s="321"/>
      <c r="BR186" s="1108"/>
      <c r="BS186" s="1108"/>
      <c r="BT186" s="321"/>
      <c r="BU186" s="1108"/>
      <c r="BV186" s="1108"/>
      <c r="BW186" s="328"/>
      <c r="BX186" s="1117"/>
      <c r="BZ186" s="1108"/>
      <c r="CA186" s="1108"/>
      <c r="CB186" s="321"/>
      <c r="CC186" s="1114"/>
      <c r="CD186" s="1108"/>
      <c r="CE186" s="321"/>
      <c r="CF186" s="1108"/>
      <c r="CG186" s="1108"/>
      <c r="CH186" s="321"/>
      <c r="CI186" s="1108"/>
      <c r="CJ186" s="1108"/>
      <c r="CK186" s="328"/>
      <c r="CL186" s="1117"/>
    </row>
    <row r="187" spans="2:90" ht="42.75" x14ac:dyDescent="0.2">
      <c r="B187" s="1152"/>
      <c r="C187" s="1140"/>
      <c r="D187" s="334" t="str">
        <f>+'Plan de Accion 2018'!F90</f>
        <v>Procesos y Procedimientos</v>
      </c>
      <c r="E187" s="1146" t="str">
        <f>+'Plan de Accion 2018'!B90</f>
        <v>Dirección Administrativa y Financiera</v>
      </c>
      <c r="F187" s="333" t="str">
        <f>+'Plan de Accion 2018'!R90</f>
        <v># procedimientos Aprobados / # Procedimientos identificados</v>
      </c>
      <c r="H187" s="776">
        <f>+'Plan de Accion 2018'!AA90</f>
        <v>0.15</v>
      </c>
      <c r="I187" s="777">
        <f>+'Plan de Accion 2018'!BL90</f>
        <v>1</v>
      </c>
      <c r="J187" s="777">
        <f t="shared" si="36"/>
        <v>1</v>
      </c>
      <c r="K187" s="777">
        <f>+'Plan de Accion 2018'!AE90</f>
        <v>0.15</v>
      </c>
      <c r="L187" s="777">
        <f t="shared" si="37"/>
        <v>0.15</v>
      </c>
      <c r="M187" s="1391">
        <f t="shared" si="38"/>
        <v>0.15</v>
      </c>
      <c r="N187" s="887"/>
      <c r="O187" s="776">
        <f>+'Plan de Accion 2018'!AK90</f>
        <v>0.7068965517241379</v>
      </c>
      <c r="P187" s="777">
        <f>+'Plan de Accion 2018'!BN90</f>
        <v>0.83164300202839758</v>
      </c>
      <c r="Q187" s="870">
        <f t="shared" si="32"/>
        <v>0.83164300202839758</v>
      </c>
      <c r="R187" s="892">
        <f>+'Plan de Accion 2018'!AO90</f>
        <v>0.85689655172413792</v>
      </c>
      <c r="S187" s="892">
        <f t="shared" si="29"/>
        <v>0.5</v>
      </c>
      <c r="T187" s="878">
        <f t="shared" si="33"/>
        <v>0.5</v>
      </c>
      <c r="U187" s="336"/>
      <c r="V187" s="776">
        <f>+'Plan de Accion 2018'!AU90</f>
        <v>0</v>
      </c>
      <c r="W187" s="777" t="str">
        <f>+'Plan de Accion 2018'!BP90</f>
        <v>No Prog ni Ejec</v>
      </c>
      <c r="X187" s="870" t="s">
        <v>792</v>
      </c>
      <c r="Y187" s="777">
        <f>+'Plan de Accion 2018'!AY90</f>
        <v>0.85689655172413792</v>
      </c>
      <c r="Z187" s="892">
        <f t="shared" si="47"/>
        <v>0.75</v>
      </c>
      <c r="AA187" s="878">
        <f t="shared" si="35"/>
        <v>0.75</v>
      </c>
      <c r="AB187" s="336"/>
      <c r="AC187" s="330">
        <f>+'Plan de Accion 2018'!BE90</f>
        <v>0</v>
      </c>
      <c r="AD187" s="331" t="str">
        <f>+'Plan de Accion 2018'!BR90</f>
        <v>No Prog ni Ejec</v>
      </c>
      <c r="AE187" s="870" t="s">
        <v>792</v>
      </c>
      <c r="AF187" s="777">
        <f>+'Plan de Accion 2018'!BI90</f>
        <v>0.85689655172413792</v>
      </c>
      <c r="AG187" s="878">
        <f t="shared" si="31"/>
        <v>0.85689655172413792</v>
      </c>
      <c r="AH187" s="347"/>
      <c r="AJ187" s="1106"/>
      <c r="AK187" s="1106"/>
      <c r="AL187" s="321"/>
      <c r="AM187" s="1112"/>
      <c r="AN187" s="1106"/>
      <c r="AO187" s="321"/>
      <c r="AP187" s="1106"/>
      <c r="AQ187" s="1106"/>
      <c r="AR187" s="321"/>
      <c r="AS187" s="1106"/>
      <c r="AT187" s="1106"/>
      <c r="AU187" s="328"/>
      <c r="AV187" s="348"/>
      <c r="AX187" s="1106"/>
      <c r="AY187" s="1106"/>
      <c r="AZ187" s="321"/>
      <c r="BA187" s="1112"/>
      <c r="BB187" s="1106"/>
      <c r="BC187" s="321"/>
      <c r="BD187" s="1106"/>
      <c r="BE187" s="1106"/>
      <c r="BF187" s="321"/>
      <c r="BG187" s="1106"/>
      <c r="BH187" s="1106"/>
      <c r="BI187" s="328"/>
      <c r="BJ187" s="348"/>
      <c r="BL187" s="1106"/>
      <c r="BM187" s="1106"/>
      <c r="BN187" s="321"/>
      <c r="BO187" s="1112"/>
      <c r="BP187" s="1106"/>
      <c r="BQ187" s="321"/>
      <c r="BR187" s="1106"/>
      <c r="BS187" s="1106"/>
      <c r="BT187" s="321"/>
      <c r="BU187" s="1106"/>
      <c r="BV187" s="1106"/>
      <c r="BW187" s="328"/>
      <c r="BX187" s="348"/>
      <c r="BZ187" s="1106"/>
      <c r="CA187" s="1106"/>
      <c r="CB187" s="321"/>
      <c r="CC187" s="1112"/>
      <c r="CD187" s="1106"/>
      <c r="CE187" s="321"/>
      <c r="CF187" s="1106"/>
      <c r="CG187" s="1106"/>
      <c r="CH187" s="321"/>
      <c r="CI187" s="1106"/>
      <c r="CJ187" s="1106"/>
      <c r="CK187" s="328"/>
      <c r="CL187" s="348"/>
    </row>
    <row r="188" spans="2:90" ht="42.75" x14ac:dyDescent="0.2">
      <c r="B188" s="1152"/>
      <c r="C188" s="1140"/>
      <c r="D188" s="332" t="str">
        <f>+'Plan de Accion 2018'!F91</f>
        <v>Evaluar la gestión y resultados de los procesos de calidad de la Dependencia</v>
      </c>
      <c r="E188" s="1146"/>
      <c r="F188" s="333" t="str">
        <f>+'Plan de Accion 2018'!R91</f>
        <v># Indicadores Medidos / # Indicadores Sujetos de Medición</v>
      </c>
      <c r="H188" s="776">
        <f>+'Plan de Accion 2018'!AA91</f>
        <v>0</v>
      </c>
      <c r="I188" s="777" t="str">
        <f>+'Plan de Accion 2018'!BL91</f>
        <v>No Prog ni Ejec</v>
      </c>
      <c r="J188" s="777" t="s">
        <v>792</v>
      </c>
      <c r="K188" s="777">
        <f>+'Plan de Accion 2018'!AE91</f>
        <v>0</v>
      </c>
      <c r="L188" s="777">
        <f t="shared" si="37"/>
        <v>0</v>
      </c>
      <c r="M188" s="1391" t="s">
        <v>792</v>
      </c>
      <c r="N188" s="887"/>
      <c r="O188" s="776">
        <f>+'Plan de Accion 2018'!AK91</f>
        <v>0</v>
      </c>
      <c r="P188" s="777" t="str">
        <f>+'Plan de Accion 2018'!BN91</f>
        <v>No Prog ni Ejec</v>
      </c>
      <c r="Q188" s="870" t="s">
        <v>792</v>
      </c>
      <c r="R188" s="892">
        <f>+'Plan de Accion 2018'!AO91</f>
        <v>0</v>
      </c>
      <c r="S188" s="892">
        <f t="shared" si="29"/>
        <v>0</v>
      </c>
      <c r="T188" s="878" t="s">
        <v>792</v>
      </c>
      <c r="U188" s="336"/>
      <c r="V188" s="776">
        <f>+'Plan de Accion 2018'!AU91</f>
        <v>0</v>
      </c>
      <c r="W188" s="777" t="str">
        <f>+'Plan de Accion 2018'!BP91</f>
        <v>No Prog ni Ejec</v>
      </c>
      <c r="X188" s="870" t="s">
        <v>792</v>
      </c>
      <c r="Y188" s="777">
        <f>+'Plan de Accion 2018'!AY91</f>
        <v>0</v>
      </c>
      <c r="Z188" s="892">
        <f t="shared" si="47"/>
        <v>0</v>
      </c>
      <c r="AA188" s="878" t="s">
        <v>792</v>
      </c>
      <c r="AB188" s="336"/>
      <c r="AC188" s="330">
        <f>+'Plan de Accion 2018'!BE91</f>
        <v>0</v>
      </c>
      <c r="AD188" s="331">
        <f>+'Plan de Accion 2018'!BR91</f>
        <v>0</v>
      </c>
      <c r="AE188" s="870">
        <f t="shared" si="30"/>
        <v>0</v>
      </c>
      <c r="AF188" s="777">
        <f>+'Plan de Accion 2018'!BI91</f>
        <v>0</v>
      </c>
      <c r="AG188" s="878">
        <f t="shared" si="31"/>
        <v>0</v>
      </c>
      <c r="AH188" s="349"/>
      <c r="AJ188" s="1107"/>
      <c r="AK188" s="1107"/>
      <c r="AL188" s="321"/>
      <c r="AM188" s="1113"/>
      <c r="AN188" s="1107"/>
      <c r="AO188" s="321"/>
      <c r="AP188" s="1107"/>
      <c r="AQ188" s="1107"/>
      <c r="AR188" s="321"/>
      <c r="AS188" s="1107"/>
      <c r="AT188" s="1107"/>
      <c r="AU188" s="328"/>
      <c r="AV188" s="350"/>
      <c r="AX188" s="1107"/>
      <c r="AY188" s="1107"/>
      <c r="AZ188" s="321"/>
      <c r="BA188" s="1113"/>
      <c r="BB188" s="1107"/>
      <c r="BC188" s="321"/>
      <c r="BD188" s="1107"/>
      <c r="BE188" s="1107"/>
      <c r="BF188" s="321"/>
      <c r="BG188" s="1107"/>
      <c r="BH188" s="1107"/>
      <c r="BI188" s="328"/>
      <c r="BJ188" s="350"/>
      <c r="BL188" s="1107"/>
      <c r="BM188" s="1107"/>
      <c r="BN188" s="321"/>
      <c r="BO188" s="1113"/>
      <c r="BP188" s="1107"/>
      <c r="BQ188" s="321"/>
      <c r="BR188" s="1107"/>
      <c r="BS188" s="1107"/>
      <c r="BT188" s="321"/>
      <c r="BU188" s="1107"/>
      <c r="BV188" s="1107"/>
      <c r="BW188" s="328"/>
      <c r="BX188" s="350"/>
      <c r="BZ188" s="1107"/>
      <c r="CA188" s="1107"/>
      <c r="CB188" s="321"/>
      <c r="CC188" s="1113"/>
      <c r="CD188" s="1107"/>
      <c r="CE188" s="321"/>
      <c r="CF188" s="1107"/>
      <c r="CG188" s="1107"/>
      <c r="CH188" s="321"/>
      <c r="CI188" s="1107"/>
      <c r="CJ188" s="1107"/>
      <c r="CK188" s="328"/>
      <c r="CL188" s="350"/>
    </row>
    <row r="189" spans="2:90" ht="27.75" customHeight="1" thickBot="1" x14ac:dyDescent="0.25">
      <c r="B189" s="1152"/>
      <c r="C189" s="1140"/>
      <c r="D189" s="334" t="str">
        <f>+'Plan de Accion 2018'!F99</f>
        <v>Trámite los Procesos  Precontractuales y Contractuales para la adquisición de Bienes y Servicios de conformidad con lo establecido en el Plan de Adquisiciones de la Dirección Administrativa y Financiera</v>
      </c>
      <c r="E189" s="1146"/>
      <c r="F189" s="333" t="str">
        <f>+'Plan de Accion 2018'!R99</f>
        <v># Procesos contractuales tramitados / # Procesos contractuales incluidos en el Plan Anual de Adquisiciones y requeridos por las dependencias de la ADRES</v>
      </c>
      <c r="H189" s="776">
        <f>+'Plan de Accion 2018'!AA99</f>
        <v>0.24642857142857144</v>
      </c>
      <c r="I189" s="777">
        <f>+'Plan de Accion 2018'!BL99</f>
        <v>0.98571428571428577</v>
      </c>
      <c r="J189" s="777">
        <f t="shared" si="36"/>
        <v>0.98571428571428577</v>
      </c>
      <c r="K189" s="777">
        <f>+'Plan de Accion 2018'!AE99</f>
        <v>0.24642857142857144</v>
      </c>
      <c r="L189" s="777">
        <f t="shared" si="37"/>
        <v>0.24642857142857144</v>
      </c>
      <c r="M189" s="1391">
        <f t="shared" si="38"/>
        <v>0.24642857142857144</v>
      </c>
      <c r="N189" s="887"/>
      <c r="O189" s="776">
        <f>+'Plan de Accion 2018'!AK99</f>
        <v>0.25</v>
      </c>
      <c r="P189" s="777">
        <f>+'Plan de Accion 2018'!BN99</f>
        <v>1</v>
      </c>
      <c r="Q189" s="870">
        <f t="shared" si="32"/>
        <v>1</v>
      </c>
      <c r="R189" s="892">
        <f>+'Plan de Accion 2018'!AO99</f>
        <v>0.49642857142857144</v>
      </c>
      <c r="S189" s="892">
        <f t="shared" si="29"/>
        <v>0.49642857142857144</v>
      </c>
      <c r="T189" s="878">
        <f t="shared" si="33"/>
        <v>0.49642857142857144</v>
      </c>
      <c r="U189" s="336"/>
      <c r="V189" s="776">
        <f>+'Plan de Accion 2018'!AU99</f>
        <v>0</v>
      </c>
      <c r="W189" s="777">
        <f>+'Plan de Accion 2018'!BP99</f>
        <v>0</v>
      </c>
      <c r="X189" s="870">
        <f t="shared" si="34"/>
        <v>0</v>
      </c>
      <c r="Y189" s="777">
        <f>+'Plan de Accion 2018'!AY99</f>
        <v>0.49642857142857144</v>
      </c>
      <c r="Z189" s="892">
        <f t="shared" si="47"/>
        <v>0.49642857142857144</v>
      </c>
      <c r="AA189" s="878">
        <f t="shared" si="35"/>
        <v>0.49642857142857144</v>
      </c>
      <c r="AB189" s="336"/>
      <c r="AC189" s="330">
        <f>+'Plan de Accion 2018'!BE99</f>
        <v>0</v>
      </c>
      <c r="AD189" s="331">
        <f>+'Plan de Accion 2018'!BR99</f>
        <v>0</v>
      </c>
      <c r="AE189" s="870">
        <f t="shared" si="30"/>
        <v>0</v>
      </c>
      <c r="AF189" s="777">
        <f>+'Plan de Accion 2018'!BI99</f>
        <v>0.49642857142857144</v>
      </c>
      <c r="AG189" s="878">
        <f t="shared" si="31"/>
        <v>0.49642857142857144</v>
      </c>
      <c r="AH189" s="351"/>
      <c r="AJ189" s="1108"/>
      <c r="AK189" s="1108"/>
      <c r="AL189" s="321"/>
      <c r="AM189" s="1114"/>
      <c r="AN189" s="1108"/>
      <c r="AO189" s="321"/>
      <c r="AP189" s="1108"/>
      <c r="AQ189" s="1108"/>
      <c r="AR189" s="321"/>
      <c r="AS189" s="1108"/>
      <c r="AT189" s="1108"/>
      <c r="AU189" s="328"/>
      <c r="AV189" s="352"/>
      <c r="AX189" s="1108"/>
      <c r="AY189" s="1108"/>
      <c r="AZ189" s="321"/>
      <c r="BA189" s="1114"/>
      <c r="BB189" s="1108"/>
      <c r="BC189" s="321"/>
      <c r="BD189" s="1108"/>
      <c r="BE189" s="1108"/>
      <c r="BF189" s="321"/>
      <c r="BG189" s="1108"/>
      <c r="BH189" s="1108"/>
      <c r="BI189" s="328"/>
      <c r="BJ189" s="352"/>
      <c r="BL189" s="1108"/>
      <c r="BM189" s="1108"/>
      <c r="BN189" s="321"/>
      <c r="BO189" s="1114"/>
      <c r="BP189" s="1108"/>
      <c r="BQ189" s="321"/>
      <c r="BR189" s="1108"/>
      <c r="BS189" s="1108"/>
      <c r="BT189" s="321"/>
      <c r="BU189" s="1108"/>
      <c r="BV189" s="1108"/>
      <c r="BW189" s="328"/>
      <c r="BX189" s="352"/>
      <c r="BZ189" s="1108"/>
      <c r="CA189" s="1108"/>
      <c r="CB189" s="321"/>
      <c r="CC189" s="1114"/>
      <c r="CD189" s="1108"/>
      <c r="CE189" s="321"/>
      <c r="CF189" s="1108"/>
      <c r="CG189" s="1108"/>
      <c r="CH189" s="321"/>
      <c r="CI189" s="1108"/>
      <c r="CJ189" s="1108"/>
      <c r="CK189" s="328"/>
      <c r="CL189" s="352"/>
    </row>
    <row r="190" spans="2:90" ht="57" x14ac:dyDescent="0.2">
      <c r="B190" s="1152"/>
      <c r="C190" s="1140"/>
      <c r="D190" s="334" t="str">
        <f>+'Plan de Accion 2018'!F100</f>
        <v>Elaborar las constancias de Archivos  y/o actas de liquidaciones de los procesos contractuales</v>
      </c>
      <c r="E190" s="1146"/>
      <c r="F190" s="333" t="str">
        <f>+'Plan de Accion 2018'!R100</f>
        <v># Autos de cierre o actas de liquidación elaboradas / # contratos con ejecución finalizada</v>
      </c>
      <c r="H190" s="776">
        <f>+'Plan de Accion 2018'!AA100</f>
        <v>0.20689655172413793</v>
      </c>
      <c r="I190" s="777">
        <f>+'Plan de Accion 2018'!BL100</f>
        <v>0.82758620689655171</v>
      </c>
      <c r="J190" s="777">
        <f t="shared" si="36"/>
        <v>0.82758620689655171</v>
      </c>
      <c r="K190" s="777">
        <f>+'Plan de Accion 2018'!AE100</f>
        <v>0.20689655172413793</v>
      </c>
      <c r="L190" s="777">
        <f t="shared" si="37"/>
        <v>0.20689655172413793</v>
      </c>
      <c r="M190" s="1391">
        <f t="shared" si="38"/>
        <v>0.20689655172413793</v>
      </c>
      <c r="N190" s="887"/>
      <c r="O190" s="776">
        <f>+'Plan de Accion 2018'!AK100</f>
        <v>0.23360655737704919</v>
      </c>
      <c r="P190" s="777">
        <f>+'Plan de Accion 2018'!BN100</f>
        <v>0.93442622950819676</v>
      </c>
      <c r="Q190" s="870">
        <f t="shared" si="32"/>
        <v>0.93442622950819676</v>
      </c>
      <c r="R190" s="892">
        <f>+'Plan de Accion 2018'!AO100</f>
        <v>0.44050310910118712</v>
      </c>
      <c r="S190" s="892">
        <f t="shared" si="29"/>
        <v>0.44050310910118712</v>
      </c>
      <c r="T190" s="878">
        <f t="shared" si="33"/>
        <v>0.44050310910118712</v>
      </c>
      <c r="U190" s="336"/>
      <c r="V190" s="776">
        <f>+'Plan de Accion 2018'!AU100</f>
        <v>0</v>
      </c>
      <c r="W190" s="777">
        <f>+'Plan de Accion 2018'!BP100</f>
        <v>0</v>
      </c>
      <c r="X190" s="870">
        <f t="shared" si="34"/>
        <v>0</v>
      </c>
      <c r="Y190" s="777">
        <f>+'Plan de Accion 2018'!AY100</f>
        <v>0.44050310910118712</v>
      </c>
      <c r="Z190" s="892">
        <f t="shared" si="47"/>
        <v>0.44050310910118712</v>
      </c>
      <c r="AA190" s="878">
        <f t="shared" si="35"/>
        <v>0.44050310910118712</v>
      </c>
      <c r="AB190" s="336"/>
      <c r="AC190" s="330">
        <f>+'Plan de Accion 2018'!BE100</f>
        <v>0</v>
      </c>
      <c r="AD190" s="331">
        <f>+'Plan de Accion 2018'!BR100</f>
        <v>0</v>
      </c>
      <c r="AE190" s="870">
        <f t="shared" si="30"/>
        <v>0</v>
      </c>
      <c r="AF190" s="777">
        <f>+'Plan de Accion 2018'!BI100</f>
        <v>0.44050310910118712</v>
      </c>
      <c r="AG190" s="878">
        <f t="shared" si="31"/>
        <v>0.44050310910118712</v>
      </c>
      <c r="AH190" s="384"/>
      <c r="AJ190" s="1107"/>
      <c r="AK190" s="1106"/>
      <c r="AL190" s="321"/>
      <c r="AM190" s="1113"/>
      <c r="AN190" s="1106"/>
      <c r="AO190" s="321"/>
      <c r="AP190" s="1107"/>
      <c r="AQ190" s="1106"/>
      <c r="AR190" s="321"/>
      <c r="AS190" s="1107"/>
      <c r="AT190" s="1106"/>
      <c r="AU190" s="328"/>
      <c r="AV190" s="387"/>
      <c r="AX190" s="1107"/>
      <c r="AY190" s="1106"/>
      <c r="AZ190" s="321"/>
      <c r="BA190" s="1113"/>
      <c r="BB190" s="1106"/>
      <c r="BC190" s="321"/>
      <c r="BD190" s="1107"/>
      <c r="BE190" s="1106"/>
      <c r="BF190" s="321"/>
      <c r="BG190" s="1107"/>
      <c r="BH190" s="1106"/>
      <c r="BI190" s="328"/>
      <c r="BJ190" s="387"/>
      <c r="BL190" s="1107"/>
      <c r="BM190" s="1106"/>
      <c r="BN190" s="321"/>
      <c r="BO190" s="1113"/>
      <c r="BP190" s="1106"/>
      <c r="BQ190" s="321"/>
      <c r="BR190" s="1107"/>
      <c r="BS190" s="1106"/>
      <c r="BT190" s="321"/>
      <c r="BU190" s="1107"/>
      <c r="BV190" s="1106"/>
      <c r="BW190" s="328"/>
      <c r="BX190" s="387"/>
      <c r="BZ190" s="1107"/>
      <c r="CA190" s="1106"/>
      <c r="CB190" s="321"/>
      <c r="CC190" s="1113"/>
      <c r="CD190" s="1106"/>
      <c r="CE190" s="321"/>
      <c r="CF190" s="1107"/>
      <c r="CG190" s="1106"/>
      <c r="CH190" s="321"/>
      <c r="CI190" s="1107"/>
      <c r="CJ190" s="1106"/>
      <c r="CK190" s="328"/>
      <c r="CL190" s="387"/>
    </row>
    <row r="191" spans="2:90" ht="15" x14ac:dyDescent="0.2">
      <c r="B191" s="1152"/>
      <c r="C191" s="1140"/>
      <c r="D191" s="334" t="str">
        <f>+'Plan de Accion 2018'!F104</f>
        <v>Sistema de nómina ( Solredes)</v>
      </c>
      <c r="E191" s="1146"/>
      <c r="F191" s="333" t="str">
        <f>+'Plan de Accion 2018'!R104</f>
        <v># de nóminas generadas</v>
      </c>
      <c r="H191" s="780">
        <f>+'Plan de Accion 2018'!AA104</f>
        <v>4</v>
      </c>
      <c r="I191" s="777">
        <f>+'Plan de Accion 2018'!BL104</f>
        <v>1.3333333333333333</v>
      </c>
      <c r="J191" s="777">
        <f t="shared" si="36"/>
        <v>1</v>
      </c>
      <c r="K191" s="777">
        <f>+'Plan de Accion 2018'!AE104</f>
        <v>0.33333333333333331</v>
      </c>
      <c r="L191" s="777">
        <f t="shared" si="37"/>
        <v>0.25</v>
      </c>
      <c r="M191" s="1391">
        <f t="shared" si="38"/>
        <v>0.25</v>
      </c>
      <c r="N191" s="887">
        <v>1</v>
      </c>
      <c r="O191" s="780">
        <f>+'Plan de Accion 2018'!AK104</f>
        <v>3</v>
      </c>
      <c r="P191" s="777">
        <f>+'Plan de Accion 2018'!BN104</f>
        <v>1</v>
      </c>
      <c r="Q191" s="870">
        <f t="shared" si="32"/>
        <v>1</v>
      </c>
      <c r="R191" s="892">
        <f>+'Plan de Accion 2018'!AO104</f>
        <v>0.58333333333333337</v>
      </c>
      <c r="S191" s="892">
        <f t="shared" si="29"/>
        <v>0.5</v>
      </c>
      <c r="T191" s="878">
        <f t="shared" si="33"/>
        <v>0.5</v>
      </c>
      <c r="U191" s="336"/>
      <c r="V191" s="780">
        <f>+'Plan de Accion 2018'!AU104</f>
        <v>0</v>
      </c>
      <c r="W191" s="777">
        <f>+'Plan de Accion 2018'!BP104</f>
        <v>0</v>
      </c>
      <c r="X191" s="870">
        <f t="shared" si="34"/>
        <v>0</v>
      </c>
      <c r="Y191" s="777">
        <f>+'Plan de Accion 2018'!AY104</f>
        <v>0.58333333333333337</v>
      </c>
      <c r="Z191" s="892">
        <f t="shared" si="47"/>
        <v>0.58333333333333337</v>
      </c>
      <c r="AA191" s="878">
        <f t="shared" si="35"/>
        <v>0.58333333333333337</v>
      </c>
      <c r="AB191" s="336"/>
      <c r="AC191" s="780">
        <f>+'Plan de Accion 2018'!BE104</f>
        <v>0</v>
      </c>
      <c r="AD191" s="331">
        <f>+'Plan de Accion 2018'!BR104</f>
        <v>0</v>
      </c>
      <c r="AE191" s="870">
        <f t="shared" si="30"/>
        <v>0</v>
      </c>
      <c r="AF191" s="777">
        <f>+'Plan de Accion 2018'!BI104</f>
        <v>0.58333333333333337</v>
      </c>
      <c r="AG191" s="878">
        <f t="shared" si="31"/>
        <v>0.58333333333333337</v>
      </c>
      <c r="AH191" s="384"/>
      <c r="AJ191" s="1107"/>
      <c r="AK191" s="1107"/>
      <c r="AL191" s="321"/>
      <c r="AM191" s="1113"/>
      <c r="AN191" s="1107"/>
      <c r="AO191" s="321"/>
      <c r="AP191" s="1107"/>
      <c r="AQ191" s="1107"/>
      <c r="AR191" s="321"/>
      <c r="AS191" s="1107"/>
      <c r="AT191" s="1107"/>
      <c r="AU191" s="328"/>
      <c r="AV191" s="387"/>
      <c r="AX191" s="1107"/>
      <c r="AY191" s="1107"/>
      <c r="AZ191" s="321"/>
      <c r="BA191" s="1113"/>
      <c r="BB191" s="1107"/>
      <c r="BC191" s="321"/>
      <c r="BD191" s="1107"/>
      <c r="BE191" s="1107"/>
      <c r="BF191" s="321"/>
      <c r="BG191" s="1107"/>
      <c r="BH191" s="1107"/>
      <c r="BI191" s="328"/>
      <c r="BJ191" s="387"/>
      <c r="BL191" s="1107"/>
      <c r="BM191" s="1107"/>
      <c r="BN191" s="321"/>
      <c r="BO191" s="1113"/>
      <c r="BP191" s="1107"/>
      <c r="BQ191" s="321"/>
      <c r="BR191" s="1107"/>
      <c r="BS191" s="1107"/>
      <c r="BT191" s="321"/>
      <c r="BU191" s="1107"/>
      <c r="BV191" s="1107"/>
      <c r="BW191" s="328"/>
      <c r="BX191" s="387"/>
      <c r="BZ191" s="1107"/>
      <c r="CA191" s="1107"/>
      <c r="CB191" s="321"/>
      <c r="CC191" s="1113"/>
      <c r="CD191" s="1107"/>
      <c r="CE191" s="321"/>
      <c r="CF191" s="1107"/>
      <c r="CG191" s="1107"/>
      <c r="CH191" s="321"/>
      <c r="CI191" s="1107"/>
      <c r="CJ191" s="1107"/>
      <c r="CK191" s="328"/>
      <c r="CL191" s="387"/>
    </row>
    <row r="192" spans="2:90" ht="43.5" thickBot="1" x14ac:dyDescent="0.25">
      <c r="B192" s="1152"/>
      <c r="C192" s="1140"/>
      <c r="D192" s="334" t="str">
        <f>+'Plan de Accion 2018'!F110</f>
        <v>Gestión de Correspondencia</v>
      </c>
      <c r="E192" s="1146"/>
      <c r="F192" s="333" t="str">
        <f>+'Plan de Accion 2018'!R110</f>
        <v>No. De documentos radicados y gestionados/No. De documentos recibidos</v>
      </c>
      <c r="H192" s="776">
        <f>+'Plan de Accion 2018'!AA110</f>
        <v>0.25</v>
      </c>
      <c r="I192" s="777">
        <f>+'Plan de Accion 2018'!BL110</f>
        <v>1</v>
      </c>
      <c r="J192" s="777">
        <f t="shared" si="36"/>
        <v>1</v>
      </c>
      <c r="K192" s="777">
        <f>+'Plan de Accion 2018'!AE110</f>
        <v>0.25</v>
      </c>
      <c r="L192" s="777">
        <f t="shared" si="37"/>
        <v>0.25</v>
      </c>
      <c r="M192" s="1391">
        <f t="shared" si="38"/>
        <v>0.25</v>
      </c>
      <c r="N192" s="887"/>
      <c r="O192" s="776">
        <f>+'Plan de Accion 2018'!AK110</f>
        <v>0.25</v>
      </c>
      <c r="P192" s="777">
        <f>+'Plan de Accion 2018'!BN110</f>
        <v>1</v>
      </c>
      <c r="Q192" s="870">
        <f t="shared" si="32"/>
        <v>1</v>
      </c>
      <c r="R192" s="892">
        <f>+'Plan de Accion 2018'!AO110</f>
        <v>0.5</v>
      </c>
      <c r="S192" s="892">
        <f t="shared" si="29"/>
        <v>0.5</v>
      </c>
      <c r="T192" s="878">
        <f t="shared" si="33"/>
        <v>0.5</v>
      </c>
      <c r="U192" s="336"/>
      <c r="V192" s="776">
        <f>+'Plan de Accion 2018'!AU110</f>
        <v>0</v>
      </c>
      <c r="W192" s="777">
        <f>+'Plan de Accion 2018'!BP110</f>
        <v>0</v>
      </c>
      <c r="X192" s="870">
        <f t="shared" si="34"/>
        <v>0</v>
      </c>
      <c r="Y192" s="777">
        <f>+'Plan de Accion 2018'!AY110</f>
        <v>0.5</v>
      </c>
      <c r="Z192" s="892">
        <f t="shared" si="47"/>
        <v>0.5</v>
      </c>
      <c r="AA192" s="878">
        <f t="shared" si="35"/>
        <v>0.5</v>
      </c>
      <c r="AB192" s="336"/>
      <c r="AC192" s="330">
        <f>+'Plan de Accion 2018'!BE110</f>
        <v>0</v>
      </c>
      <c r="AD192" s="331">
        <f>+'Plan de Accion 2018'!BR110</f>
        <v>0</v>
      </c>
      <c r="AE192" s="870">
        <f t="shared" si="30"/>
        <v>0</v>
      </c>
      <c r="AF192" s="777">
        <f>+'Plan de Accion 2018'!BI110</f>
        <v>0.5</v>
      </c>
      <c r="AG192" s="878">
        <f t="shared" si="31"/>
        <v>0.5</v>
      </c>
      <c r="AH192" s="404"/>
      <c r="AJ192" s="1108"/>
      <c r="AK192" s="1108"/>
      <c r="AL192" s="321"/>
      <c r="AM192" s="1114"/>
      <c r="AN192" s="1108"/>
      <c r="AO192" s="321"/>
      <c r="AP192" s="1108"/>
      <c r="AQ192" s="1108"/>
      <c r="AR192" s="321"/>
      <c r="AS192" s="1108"/>
      <c r="AT192" s="1108"/>
      <c r="AU192" s="328"/>
      <c r="AV192" s="405"/>
      <c r="AX192" s="1108"/>
      <c r="AY192" s="1108"/>
      <c r="AZ192" s="321"/>
      <c r="BA192" s="1114"/>
      <c r="BB192" s="1108"/>
      <c r="BC192" s="321"/>
      <c r="BD192" s="1108"/>
      <c r="BE192" s="1108"/>
      <c r="BF192" s="321"/>
      <c r="BG192" s="1108"/>
      <c r="BH192" s="1108"/>
      <c r="BI192" s="328"/>
      <c r="BJ192" s="405"/>
      <c r="BL192" s="1108"/>
      <c r="BM192" s="1108"/>
      <c r="BN192" s="321"/>
      <c r="BO192" s="1114"/>
      <c r="BP192" s="1108"/>
      <c r="BQ192" s="321"/>
      <c r="BR192" s="1108"/>
      <c r="BS192" s="1108"/>
      <c r="BT192" s="321"/>
      <c r="BU192" s="1108"/>
      <c r="BV192" s="1108"/>
      <c r="BW192" s="328"/>
      <c r="BX192" s="405"/>
      <c r="BZ192" s="1108"/>
      <c r="CA192" s="1108"/>
      <c r="CB192" s="321"/>
      <c r="CC192" s="1114"/>
      <c r="CD192" s="1108"/>
      <c r="CE192" s="321"/>
      <c r="CF192" s="1108"/>
      <c r="CG192" s="1108"/>
      <c r="CH192" s="321"/>
      <c r="CI192" s="1108"/>
      <c r="CJ192" s="1108"/>
      <c r="CK192" s="328"/>
      <c r="CL192" s="405"/>
    </row>
    <row r="193" spans="2:90" s="775" customFormat="1" ht="72" thickBot="1" x14ac:dyDescent="0.25">
      <c r="B193" s="1152"/>
      <c r="C193" s="1140"/>
      <c r="D193" s="778" t="str">
        <f>+'Plan de Accion 2018'!F105</f>
        <v>Expedientes de hojas de vida consolidados, organizados y actualizados</v>
      </c>
      <c r="E193" s="1146"/>
      <c r="F193" s="779" t="str">
        <f>+'Plan de Accion 2018'!R105</f>
        <v># Expedientes de hojas de vida consolidados, organizados y actualizados / # Funcionarios activos en el periodo</v>
      </c>
      <c r="G193" s="298"/>
      <c r="H193" s="776">
        <f>+'Plan de Accion 2018'!AA105</f>
        <v>0.25</v>
      </c>
      <c r="I193" s="777">
        <f>+'Plan de Accion 2018'!BL105</f>
        <v>1</v>
      </c>
      <c r="J193" s="777">
        <f t="shared" si="36"/>
        <v>1</v>
      </c>
      <c r="K193" s="777">
        <f>+'Plan de Accion 2018'!AE105</f>
        <v>0.25</v>
      </c>
      <c r="L193" s="777">
        <f t="shared" si="37"/>
        <v>0.25</v>
      </c>
      <c r="M193" s="1391">
        <f t="shared" si="38"/>
        <v>0.25</v>
      </c>
      <c r="N193" s="887"/>
      <c r="O193" s="776">
        <f>+'Plan de Accion 2018'!AK105</f>
        <v>6.25E-2</v>
      </c>
      <c r="P193" s="777">
        <f>+'Plan de Accion 2018'!BN105</f>
        <v>0.25</v>
      </c>
      <c r="Q193" s="870">
        <f t="shared" si="32"/>
        <v>0.25</v>
      </c>
      <c r="R193" s="892">
        <f>+'Plan de Accion 2018'!AO105</f>
        <v>0.3125</v>
      </c>
      <c r="S193" s="892">
        <f t="shared" si="29"/>
        <v>0.3125</v>
      </c>
      <c r="T193" s="878">
        <f t="shared" si="33"/>
        <v>0.3125</v>
      </c>
      <c r="U193" s="336"/>
      <c r="V193" s="776">
        <f>+'Plan de Accion 2018'!AU105</f>
        <v>0</v>
      </c>
      <c r="W193" s="777">
        <f>+'Plan de Accion 2018'!BP105</f>
        <v>0</v>
      </c>
      <c r="X193" s="870">
        <f t="shared" si="34"/>
        <v>0</v>
      </c>
      <c r="Y193" s="777">
        <f>+'Plan de Accion 2018'!AY105</f>
        <v>0.3125</v>
      </c>
      <c r="Z193" s="892">
        <f t="shared" si="47"/>
        <v>0.3125</v>
      </c>
      <c r="AA193" s="878">
        <f t="shared" si="35"/>
        <v>0.3125</v>
      </c>
      <c r="AB193" s="336"/>
      <c r="AC193" s="776">
        <f>+'Plan de Accion 2018'!BE105</f>
        <v>0</v>
      </c>
      <c r="AD193" s="777">
        <f>+'Plan de Accion 2018'!BR105</f>
        <v>0</v>
      </c>
      <c r="AE193" s="870">
        <f t="shared" si="30"/>
        <v>0</v>
      </c>
      <c r="AF193" s="777">
        <f>+'Plan de Accion 2018'!BI105</f>
        <v>0.3125</v>
      </c>
      <c r="AG193" s="878">
        <f t="shared" si="31"/>
        <v>0.3125</v>
      </c>
      <c r="AH193" s="406"/>
      <c r="AJ193" s="783"/>
      <c r="AK193" s="784"/>
      <c r="AL193" s="321"/>
      <c r="AM193" s="783"/>
      <c r="AN193" s="784"/>
      <c r="AO193" s="321"/>
      <c r="AP193" s="783"/>
      <c r="AQ193" s="784"/>
      <c r="AR193" s="321"/>
      <c r="AS193" s="783"/>
      <c r="AT193" s="784"/>
      <c r="AU193" s="328"/>
      <c r="AV193" s="406"/>
      <c r="AX193" s="783"/>
      <c r="AY193" s="784"/>
      <c r="AZ193" s="321"/>
      <c r="BA193" s="783"/>
      <c r="BB193" s="784"/>
      <c r="BC193" s="321"/>
      <c r="BD193" s="783"/>
      <c r="BE193" s="784"/>
      <c r="BF193" s="321"/>
      <c r="BG193" s="783"/>
      <c r="BH193" s="784"/>
      <c r="BI193" s="328"/>
      <c r="BJ193" s="406"/>
      <c r="BL193" s="783"/>
      <c r="BM193" s="784"/>
      <c r="BN193" s="321"/>
      <c r="BO193" s="783"/>
      <c r="BP193" s="784"/>
      <c r="BQ193" s="321"/>
      <c r="BR193" s="783"/>
      <c r="BS193" s="784"/>
      <c r="BT193" s="321"/>
      <c r="BU193" s="783"/>
      <c r="BV193" s="784"/>
      <c r="BW193" s="328"/>
      <c r="BX193" s="406"/>
      <c r="BZ193" s="783"/>
      <c r="CA193" s="784"/>
      <c r="CB193" s="321"/>
      <c r="CC193" s="783"/>
      <c r="CD193" s="784"/>
      <c r="CE193" s="321"/>
      <c r="CF193" s="783"/>
      <c r="CG193" s="784"/>
      <c r="CH193" s="321"/>
      <c r="CI193" s="783"/>
      <c r="CJ193" s="784"/>
      <c r="CK193" s="328"/>
      <c r="CL193" s="406"/>
    </row>
    <row r="194" spans="2:90" s="775" customFormat="1" ht="29.25" thickBot="1" x14ac:dyDescent="0.25">
      <c r="B194" s="1152"/>
      <c r="C194" s="1140"/>
      <c r="D194" s="778" t="str">
        <f>+'Plan de Accion 2018'!F106</f>
        <v>Archivo de Gestión Consolidado</v>
      </c>
      <c r="E194" s="1146"/>
      <c r="F194" s="779" t="str">
        <f>+'Plan de Accion 2018'!R106</f>
        <v># Certificaciones realizadas  / # certificaciones solicitadas</v>
      </c>
      <c r="G194" s="298"/>
      <c r="H194" s="776">
        <f>+'Plan de Accion 2018'!AA106</f>
        <v>0.22500000000000001</v>
      </c>
      <c r="I194" s="777">
        <f>+'Plan de Accion 2018'!BL106</f>
        <v>0.9</v>
      </c>
      <c r="J194" s="777">
        <f t="shared" si="36"/>
        <v>0.9</v>
      </c>
      <c r="K194" s="777">
        <f>+'Plan de Accion 2018'!AE106</f>
        <v>0.22500000000000001</v>
      </c>
      <c r="L194" s="777">
        <f t="shared" si="37"/>
        <v>0.22500000000000001</v>
      </c>
      <c r="M194" s="1391">
        <f t="shared" si="38"/>
        <v>0.22500000000000001</v>
      </c>
      <c r="N194" s="887"/>
      <c r="O194" s="776">
        <f>+'Plan de Accion 2018'!AK106</f>
        <v>0.25</v>
      </c>
      <c r="P194" s="777">
        <f>+'Plan de Accion 2018'!BN106</f>
        <v>1</v>
      </c>
      <c r="Q194" s="870">
        <f t="shared" si="32"/>
        <v>1</v>
      </c>
      <c r="R194" s="892">
        <f>+'Plan de Accion 2018'!AO106</f>
        <v>0.47499999999999998</v>
      </c>
      <c r="S194" s="892">
        <f t="shared" si="29"/>
        <v>0.47499999999999998</v>
      </c>
      <c r="T194" s="878">
        <f t="shared" si="33"/>
        <v>0.47499999999999998</v>
      </c>
      <c r="U194" s="336"/>
      <c r="V194" s="776">
        <f>+'Plan de Accion 2018'!AU106</f>
        <v>0</v>
      </c>
      <c r="W194" s="777">
        <f>+'Plan de Accion 2018'!BP106</f>
        <v>0</v>
      </c>
      <c r="X194" s="870">
        <f t="shared" si="34"/>
        <v>0</v>
      </c>
      <c r="Y194" s="777">
        <f>+'Plan de Accion 2018'!AY106</f>
        <v>0.47499999999999998</v>
      </c>
      <c r="Z194" s="892">
        <f t="shared" si="47"/>
        <v>0.47499999999999998</v>
      </c>
      <c r="AA194" s="878">
        <f t="shared" si="35"/>
        <v>0.47499999999999998</v>
      </c>
      <c r="AB194" s="336"/>
      <c r="AC194" s="776">
        <f>+'Plan de Accion 2018'!BE106</f>
        <v>0</v>
      </c>
      <c r="AD194" s="777">
        <f>+'Plan de Accion 2018'!BR106</f>
        <v>0</v>
      </c>
      <c r="AE194" s="870">
        <f t="shared" si="30"/>
        <v>0</v>
      </c>
      <c r="AF194" s="777">
        <f>+'Plan de Accion 2018'!BI106</f>
        <v>0.47499999999999998</v>
      </c>
      <c r="AG194" s="878">
        <f t="shared" si="31"/>
        <v>0.47499999999999998</v>
      </c>
      <c r="AH194" s="406"/>
      <c r="AJ194" s="783"/>
      <c r="AK194" s="784"/>
      <c r="AL194" s="321"/>
      <c r="AM194" s="783"/>
      <c r="AN194" s="784"/>
      <c r="AO194" s="321"/>
      <c r="AP194" s="783"/>
      <c r="AQ194" s="784"/>
      <c r="AR194" s="321"/>
      <c r="AS194" s="783"/>
      <c r="AT194" s="784"/>
      <c r="AU194" s="328"/>
      <c r="AV194" s="406"/>
      <c r="AX194" s="783"/>
      <c r="AY194" s="784"/>
      <c r="AZ194" s="321"/>
      <c r="BA194" s="783"/>
      <c r="BB194" s="784"/>
      <c r="BC194" s="321"/>
      <c r="BD194" s="783"/>
      <c r="BE194" s="784"/>
      <c r="BF194" s="321"/>
      <c r="BG194" s="783"/>
      <c r="BH194" s="784"/>
      <c r="BI194" s="328"/>
      <c r="BJ194" s="406"/>
      <c r="BL194" s="783"/>
      <c r="BM194" s="784"/>
      <c r="BN194" s="321"/>
      <c r="BO194" s="783"/>
      <c r="BP194" s="784"/>
      <c r="BQ194" s="321"/>
      <c r="BR194" s="783"/>
      <c r="BS194" s="784"/>
      <c r="BT194" s="321"/>
      <c r="BU194" s="783"/>
      <c r="BV194" s="784"/>
      <c r="BW194" s="328"/>
      <c r="BX194" s="406"/>
      <c r="BZ194" s="783"/>
      <c r="CA194" s="784"/>
      <c r="CB194" s="321"/>
      <c r="CC194" s="783"/>
      <c r="CD194" s="784"/>
      <c r="CE194" s="321"/>
      <c r="CF194" s="783"/>
      <c r="CG194" s="784"/>
      <c r="CH194" s="321"/>
      <c r="CI194" s="783"/>
      <c r="CJ194" s="784"/>
      <c r="CK194" s="328"/>
      <c r="CL194" s="406"/>
    </row>
    <row r="195" spans="2:90" ht="43.5" thickBot="1" x14ac:dyDescent="0.25">
      <c r="B195" s="1152"/>
      <c r="C195" s="1140"/>
      <c r="D195" s="334" t="str">
        <f>+'Plan de Accion 2018'!F113</f>
        <v>Custodia documental y atención de consultas</v>
      </c>
      <c r="E195" s="1146"/>
      <c r="F195" s="333" t="str">
        <f>+'Plan de Accion 2018'!R113</f>
        <v>No. De consultas gestionadas/No. De consultas realizadas</v>
      </c>
      <c r="H195" s="776">
        <f>+'Plan de Accion 2018'!AA113</f>
        <v>0.22429906542056074</v>
      </c>
      <c r="I195" s="777">
        <f>+'Plan de Accion 2018'!BL113</f>
        <v>0.89719626168224298</v>
      </c>
      <c r="J195" s="777">
        <f t="shared" si="36"/>
        <v>0.89719626168224298</v>
      </c>
      <c r="K195" s="777">
        <f>+'Plan de Accion 2018'!AE113</f>
        <v>0.22429906542056074</v>
      </c>
      <c r="L195" s="777">
        <f t="shared" si="37"/>
        <v>0.22429906542056074</v>
      </c>
      <c r="M195" s="1391">
        <f t="shared" si="38"/>
        <v>0.22429906542056074</v>
      </c>
      <c r="N195" s="887"/>
      <c r="O195" s="776">
        <f>+'Plan de Accion 2018'!AK113</f>
        <v>0.25</v>
      </c>
      <c r="P195" s="777">
        <f>+'Plan de Accion 2018'!BN113</f>
        <v>1</v>
      </c>
      <c r="Q195" s="870">
        <f t="shared" si="32"/>
        <v>1</v>
      </c>
      <c r="R195" s="892">
        <f>+'Plan de Accion 2018'!AO113</f>
        <v>0.47429906542056077</v>
      </c>
      <c r="S195" s="892">
        <f t="shared" si="29"/>
        <v>0.47429906542056077</v>
      </c>
      <c r="T195" s="878">
        <f t="shared" si="33"/>
        <v>0.47429906542056077</v>
      </c>
      <c r="U195" s="336"/>
      <c r="V195" s="776">
        <f>+'Plan de Accion 2018'!AU113</f>
        <v>0</v>
      </c>
      <c r="W195" s="777">
        <f>+'Plan de Accion 2018'!BP113</f>
        <v>0</v>
      </c>
      <c r="X195" s="870">
        <f t="shared" si="34"/>
        <v>0</v>
      </c>
      <c r="Y195" s="777">
        <f>+'Plan de Accion 2018'!AY113</f>
        <v>0.47429906542056077</v>
      </c>
      <c r="Z195" s="892">
        <f t="shared" si="47"/>
        <v>0.47429906542056077</v>
      </c>
      <c r="AA195" s="878">
        <f t="shared" si="35"/>
        <v>0.47429906542056077</v>
      </c>
      <c r="AB195" s="336"/>
      <c r="AC195" s="330">
        <f>+'Plan de Accion 2018'!BE113</f>
        <v>0</v>
      </c>
      <c r="AD195" s="331">
        <f>+'Plan de Accion 2018'!BR113</f>
        <v>0</v>
      </c>
      <c r="AE195" s="870">
        <f t="shared" si="30"/>
        <v>0</v>
      </c>
      <c r="AF195" s="777">
        <f>+'Plan de Accion 2018'!BI113</f>
        <v>0.47429906542056077</v>
      </c>
      <c r="AG195" s="878">
        <f t="shared" si="31"/>
        <v>0.47429906542056077</v>
      </c>
      <c r="AH195" s="406"/>
      <c r="AJ195" s="407"/>
      <c r="AK195" s="408"/>
      <c r="AL195" s="321"/>
      <c r="AM195" s="407"/>
      <c r="AN195" s="408"/>
      <c r="AO195" s="321"/>
      <c r="AP195" s="407"/>
      <c r="AQ195" s="408"/>
      <c r="AR195" s="321"/>
      <c r="AS195" s="407"/>
      <c r="AT195" s="408"/>
      <c r="AU195" s="328"/>
      <c r="AV195" s="406"/>
      <c r="AX195" s="407"/>
      <c r="AY195" s="408"/>
      <c r="AZ195" s="321"/>
      <c r="BA195" s="407"/>
      <c r="BB195" s="408"/>
      <c r="BC195" s="321"/>
      <c r="BD195" s="407"/>
      <c r="BE195" s="408"/>
      <c r="BF195" s="321"/>
      <c r="BG195" s="407"/>
      <c r="BH195" s="408"/>
      <c r="BI195" s="328"/>
      <c r="BJ195" s="406"/>
      <c r="BL195" s="407"/>
      <c r="BM195" s="408"/>
      <c r="BN195" s="321"/>
      <c r="BO195" s="407"/>
      <c r="BP195" s="408"/>
      <c r="BQ195" s="321"/>
      <c r="BR195" s="407"/>
      <c r="BS195" s="408"/>
      <c r="BT195" s="321"/>
      <c r="BU195" s="407"/>
      <c r="BV195" s="408"/>
      <c r="BW195" s="328"/>
      <c r="BX195" s="406"/>
      <c r="BZ195" s="407"/>
      <c r="CA195" s="408"/>
      <c r="CB195" s="321"/>
      <c r="CC195" s="407"/>
      <c r="CD195" s="408"/>
      <c r="CE195" s="321"/>
      <c r="CF195" s="407"/>
      <c r="CG195" s="408"/>
      <c r="CH195" s="321"/>
      <c r="CI195" s="407"/>
      <c r="CJ195" s="408"/>
      <c r="CK195" s="328"/>
      <c r="CL195" s="406"/>
    </row>
    <row r="196" spans="2:90" ht="43.5" thickBot="1" x14ac:dyDescent="0.25">
      <c r="B196" s="1152"/>
      <c r="C196" s="1140"/>
      <c r="D196" s="334" t="str">
        <f>+'Plan de Accion 2018'!F115</f>
        <v>Procesos y Procedimientos</v>
      </c>
      <c r="E196" s="1146" t="str">
        <f>+'Plan de Accion 2018'!B115</f>
        <v>Oficina de Control Interno</v>
      </c>
      <c r="F196" s="333" t="str">
        <f>+'Plan de Accion 2018'!R115</f>
        <v># procedimientos Aprobados / # Procedimientos identificados</v>
      </c>
      <c r="H196" s="776">
        <f>+'Plan de Accion 2018'!AA115</f>
        <v>0</v>
      </c>
      <c r="I196" s="777" t="str">
        <f>+'Plan de Accion 2018'!BL115</f>
        <v>No Prog ni Ejec</v>
      </c>
      <c r="J196" s="777" t="s">
        <v>792</v>
      </c>
      <c r="K196" s="777">
        <f>+'Plan de Accion 2018'!AE115</f>
        <v>0</v>
      </c>
      <c r="L196" s="777">
        <f t="shared" si="37"/>
        <v>0</v>
      </c>
      <c r="M196" s="1391" t="s">
        <v>792</v>
      </c>
      <c r="N196" s="887"/>
      <c r="O196" s="776">
        <f>+'Plan de Accion 2018'!AK115</f>
        <v>1</v>
      </c>
      <c r="P196" s="777">
        <f>+'Plan de Accion 2018'!BN115</f>
        <v>1</v>
      </c>
      <c r="Q196" s="870">
        <f t="shared" si="32"/>
        <v>1</v>
      </c>
      <c r="R196" s="892">
        <f>+'Plan de Accion 2018'!AO115</f>
        <v>1</v>
      </c>
      <c r="S196" s="892">
        <f>+R196</f>
        <v>1</v>
      </c>
      <c r="T196" s="878">
        <f t="shared" si="33"/>
        <v>1</v>
      </c>
      <c r="U196" s="336"/>
      <c r="V196" s="776">
        <f>+'Plan de Accion 2018'!AU115</f>
        <v>0</v>
      </c>
      <c r="W196" s="777" t="str">
        <f>+'Plan de Accion 2018'!BP115</f>
        <v>No Prog ni Ejec</v>
      </c>
      <c r="X196" s="870" t="s">
        <v>792</v>
      </c>
      <c r="Y196" s="777">
        <f>+'Plan de Accion 2018'!AY115</f>
        <v>1</v>
      </c>
      <c r="Z196" s="892">
        <f>+Y196</f>
        <v>1</v>
      </c>
      <c r="AA196" s="878">
        <f t="shared" si="35"/>
        <v>1</v>
      </c>
      <c r="AB196" s="336"/>
      <c r="AC196" s="330">
        <f>+'Plan de Accion 2018'!BE115</f>
        <v>0</v>
      </c>
      <c r="AD196" s="331" t="str">
        <f>+'Plan de Accion 2018'!BR115</f>
        <v>No Prog ni Ejec</v>
      </c>
      <c r="AE196" s="870" t="s">
        <v>792</v>
      </c>
      <c r="AF196" s="777">
        <f>+'Plan de Accion 2018'!BI115</f>
        <v>1</v>
      </c>
      <c r="AG196" s="878">
        <f t="shared" si="31"/>
        <v>1</v>
      </c>
      <c r="AH196" s="406"/>
      <c r="AJ196" s="407"/>
      <c r="AK196" s="408"/>
      <c r="AL196" s="321"/>
      <c r="AM196" s="407"/>
      <c r="AN196" s="408"/>
      <c r="AO196" s="321"/>
      <c r="AP196" s="407"/>
      <c r="AQ196" s="408"/>
      <c r="AR196" s="321"/>
      <c r="AS196" s="407"/>
      <c r="AT196" s="408"/>
      <c r="AU196" s="328"/>
      <c r="AV196" s="406"/>
      <c r="AX196" s="407"/>
      <c r="AY196" s="408"/>
      <c r="AZ196" s="321"/>
      <c r="BA196" s="407"/>
      <c r="BB196" s="408"/>
      <c r="BC196" s="321"/>
      <c r="BD196" s="407"/>
      <c r="BE196" s="408"/>
      <c r="BF196" s="321"/>
      <c r="BG196" s="407"/>
      <c r="BH196" s="408"/>
      <c r="BI196" s="328"/>
      <c r="BJ196" s="406"/>
      <c r="BL196" s="407"/>
      <c r="BM196" s="408"/>
      <c r="BN196" s="321"/>
      <c r="BO196" s="407"/>
      <c r="BP196" s="408"/>
      <c r="BQ196" s="321"/>
      <c r="BR196" s="407"/>
      <c r="BS196" s="408"/>
      <c r="BT196" s="321"/>
      <c r="BU196" s="407"/>
      <c r="BV196" s="408"/>
      <c r="BW196" s="328"/>
      <c r="BX196" s="406"/>
      <c r="BZ196" s="407"/>
      <c r="CA196" s="408"/>
      <c r="CB196" s="321"/>
      <c r="CC196" s="407"/>
      <c r="CD196" s="408"/>
      <c r="CE196" s="321"/>
      <c r="CF196" s="407"/>
      <c r="CG196" s="408"/>
      <c r="CH196" s="321"/>
      <c r="CI196" s="407"/>
      <c r="CJ196" s="408"/>
      <c r="CK196" s="328"/>
      <c r="CL196" s="406"/>
    </row>
    <row r="197" spans="2:90" ht="43.5" thickBot="1" x14ac:dyDescent="0.25">
      <c r="B197" s="1152"/>
      <c r="C197" s="1140"/>
      <c r="D197" s="332" t="str">
        <f>+'Plan de Accion 2018'!F116</f>
        <v>Evaluar la gestión y resultados de los procesos de calidad de la Dependencia</v>
      </c>
      <c r="E197" s="1146"/>
      <c r="F197" s="333" t="str">
        <f>+'Plan de Accion 2018'!R116</f>
        <v># Indicadores Medidos / # Indicadores Sujetos de Medición</v>
      </c>
      <c r="H197" s="776">
        <f>+'Plan de Accion 2018'!AA116</f>
        <v>0</v>
      </c>
      <c r="I197" s="777" t="str">
        <f>+'Plan de Accion 2018'!BL116</f>
        <v>No Prog ni Ejec</v>
      </c>
      <c r="J197" s="777" t="s">
        <v>792</v>
      </c>
      <c r="K197" s="777">
        <f>+'Plan de Accion 2018'!AE116</f>
        <v>0</v>
      </c>
      <c r="L197" s="777">
        <f t="shared" si="37"/>
        <v>0</v>
      </c>
      <c r="M197" s="1391" t="s">
        <v>792</v>
      </c>
      <c r="N197" s="887"/>
      <c r="O197" s="776">
        <f>+'Plan de Accion 2018'!AK116</f>
        <v>0</v>
      </c>
      <c r="P197" s="777" t="str">
        <f>+'Plan de Accion 2018'!BN116</f>
        <v>No Prog ni Ejec</v>
      </c>
      <c r="Q197" s="870" t="s">
        <v>792</v>
      </c>
      <c r="R197" s="892">
        <f>+'Plan de Accion 2018'!AO116</f>
        <v>0</v>
      </c>
      <c r="S197" s="892">
        <f t="shared" si="29"/>
        <v>0</v>
      </c>
      <c r="T197" s="878" t="s">
        <v>792</v>
      </c>
      <c r="U197" s="336"/>
      <c r="V197" s="776">
        <f>+'Plan de Accion 2018'!AU116</f>
        <v>0</v>
      </c>
      <c r="W197" s="777">
        <f>+'Plan de Accion 2018'!BP116</f>
        <v>0</v>
      </c>
      <c r="X197" s="870">
        <f t="shared" si="34"/>
        <v>0</v>
      </c>
      <c r="Y197" s="777">
        <f>+'Plan de Accion 2018'!AY116</f>
        <v>0</v>
      </c>
      <c r="Z197" s="892">
        <f t="shared" si="47"/>
        <v>0</v>
      </c>
      <c r="AA197" s="878" t="s">
        <v>792</v>
      </c>
      <c r="AB197" s="336"/>
      <c r="AC197" s="330">
        <f>+'Plan de Accion 2018'!BE116</f>
        <v>0</v>
      </c>
      <c r="AD197" s="331">
        <f>+'Plan de Accion 2018'!BR116</f>
        <v>0</v>
      </c>
      <c r="AE197" s="870">
        <f t="shared" si="30"/>
        <v>0</v>
      </c>
      <c r="AF197" s="777">
        <f>+'Plan de Accion 2018'!BI116</f>
        <v>0</v>
      </c>
      <c r="AG197" s="878">
        <f t="shared" si="31"/>
        <v>0</v>
      </c>
      <c r="AH197" s="406"/>
      <c r="AJ197" s="407"/>
      <c r="AK197" s="408"/>
      <c r="AL197" s="321"/>
      <c r="AM197" s="407"/>
      <c r="AN197" s="408"/>
      <c r="AO197" s="321"/>
      <c r="AP197" s="407"/>
      <c r="AQ197" s="408"/>
      <c r="AR197" s="321"/>
      <c r="AS197" s="407"/>
      <c r="AT197" s="408"/>
      <c r="AU197" s="328"/>
      <c r="AV197" s="406"/>
      <c r="AX197" s="407"/>
      <c r="AY197" s="408"/>
      <c r="AZ197" s="321"/>
      <c r="BA197" s="407"/>
      <c r="BB197" s="408"/>
      <c r="BC197" s="321"/>
      <c r="BD197" s="407"/>
      <c r="BE197" s="408"/>
      <c r="BF197" s="321"/>
      <c r="BG197" s="407"/>
      <c r="BH197" s="408"/>
      <c r="BI197" s="328"/>
      <c r="BJ197" s="406"/>
      <c r="BL197" s="407"/>
      <c r="BM197" s="408"/>
      <c r="BN197" s="321"/>
      <c r="BO197" s="407"/>
      <c r="BP197" s="408"/>
      <c r="BQ197" s="321"/>
      <c r="BR197" s="407"/>
      <c r="BS197" s="408"/>
      <c r="BT197" s="321"/>
      <c r="BU197" s="407"/>
      <c r="BV197" s="408"/>
      <c r="BW197" s="328"/>
      <c r="BX197" s="406"/>
      <c r="BZ197" s="407"/>
      <c r="CA197" s="408"/>
      <c r="CB197" s="321"/>
      <c r="CC197" s="407"/>
      <c r="CD197" s="408"/>
      <c r="CE197" s="321"/>
      <c r="CF197" s="407"/>
      <c r="CG197" s="408"/>
      <c r="CH197" s="321"/>
      <c r="CI197" s="407"/>
      <c r="CJ197" s="408"/>
      <c r="CK197" s="328"/>
      <c r="CL197" s="406"/>
    </row>
    <row r="198" spans="2:90" ht="100.5" thickBot="1" x14ac:dyDescent="0.25">
      <c r="B198" s="1152"/>
      <c r="C198" s="1140"/>
      <c r="D198" s="334" t="str">
        <f>+'Plan de Accion 2018'!F117</f>
        <v>Programa de auditorías internas, al Control Interno y otros informes  de la OCI</v>
      </c>
      <c r="E198" s="1146"/>
      <c r="F198" s="333" t="str">
        <f>+'Plan de Accion 2018'!R117</f>
        <v>(Número de auditorías internas al Control Interno y otros informes realizadas / Número de auditorías internas, al Control Interno y otros informes programadas)*100</v>
      </c>
      <c r="H198" s="776">
        <f>+'Plan de Accion 2018'!AA117</f>
        <v>0</v>
      </c>
      <c r="I198" s="777" t="str">
        <f>+'Plan de Accion 2018'!BL117</f>
        <v>No Prog ni Ejec</v>
      </c>
      <c r="J198" s="777" t="s">
        <v>792</v>
      </c>
      <c r="K198" s="777">
        <f>+'Plan de Accion 2018'!AE117</f>
        <v>0</v>
      </c>
      <c r="L198" s="777">
        <f t="shared" si="37"/>
        <v>0</v>
      </c>
      <c r="M198" s="1391" t="s">
        <v>792</v>
      </c>
      <c r="N198" s="887"/>
      <c r="O198" s="776">
        <f>+'Plan de Accion 2018'!AK117</f>
        <v>0.25</v>
      </c>
      <c r="P198" s="777">
        <f>+'Plan de Accion 2018'!BN117</f>
        <v>1</v>
      </c>
      <c r="Q198" s="870">
        <f t="shared" si="32"/>
        <v>1</v>
      </c>
      <c r="R198" s="892">
        <f>+'Plan de Accion 2018'!AO117</f>
        <v>0.25</v>
      </c>
      <c r="S198" s="892">
        <f t="shared" si="29"/>
        <v>0.25</v>
      </c>
      <c r="T198" s="878">
        <f t="shared" si="33"/>
        <v>0.25</v>
      </c>
      <c r="U198" s="336"/>
      <c r="V198" s="776">
        <f>+'Plan de Accion 2018'!AU117</f>
        <v>0</v>
      </c>
      <c r="W198" s="777">
        <f>+'Plan de Accion 2018'!BP117</f>
        <v>0</v>
      </c>
      <c r="X198" s="870">
        <f t="shared" si="34"/>
        <v>0</v>
      </c>
      <c r="Y198" s="777">
        <f>+'Plan de Accion 2018'!AY117</f>
        <v>0.25</v>
      </c>
      <c r="Z198" s="892">
        <f t="shared" si="47"/>
        <v>0.25</v>
      </c>
      <c r="AA198" s="878">
        <f t="shared" si="35"/>
        <v>0.25</v>
      </c>
      <c r="AB198" s="336"/>
      <c r="AC198" s="330">
        <f>+'Plan de Accion 2018'!BE117</f>
        <v>0</v>
      </c>
      <c r="AD198" s="331">
        <f>+'Plan de Accion 2018'!BR117</f>
        <v>0</v>
      </c>
      <c r="AE198" s="870">
        <f t="shared" si="30"/>
        <v>0</v>
      </c>
      <c r="AF198" s="777">
        <f>+'Plan de Accion 2018'!BI117</f>
        <v>0.25</v>
      </c>
      <c r="AG198" s="878">
        <f t="shared" si="31"/>
        <v>0.25</v>
      </c>
      <c r="AH198" s="406"/>
      <c r="AJ198" s="407"/>
      <c r="AK198" s="408"/>
      <c r="AL198" s="321"/>
      <c r="AM198" s="407"/>
      <c r="AN198" s="408"/>
      <c r="AO198" s="321"/>
      <c r="AP198" s="407"/>
      <c r="AQ198" s="408"/>
      <c r="AR198" s="321"/>
      <c r="AS198" s="407"/>
      <c r="AT198" s="408"/>
      <c r="AU198" s="328"/>
      <c r="AV198" s="406"/>
      <c r="AX198" s="407"/>
      <c r="AY198" s="408"/>
      <c r="AZ198" s="321"/>
      <c r="BA198" s="407"/>
      <c r="BB198" s="408"/>
      <c r="BC198" s="321"/>
      <c r="BD198" s="407"/>
      <c r="BE198" s="408"/>
      <c r="BF198" s="321"/>
      <c r="BG198" s="407"/>
      <c r="BH198" s="408"/>
      <c r="BI198" s="328"/>
      <c r="BJ198" s="406"/>
      <c r="BL198" s="407"/>
      <c r="BM198" s="408"/>
      <c r="BN198" s="321"/>
      <c r="BO198" s="407"/>
      <c r="BP198" s="408"/>
      <c r="BQ198" s="321"/>
      <c r="BR198" s="407"/>
      <c r="BS198" s="408"/>
      <c r="BT198" s="321"/>
      <c r="BU198" s="407"/>
      <c r="BV198" s="408"/>
      <c r="BW198" s="328"/>
      <c r="BX198" s="406"/>
      <c r="BZ198" s="407"/>
      <c r="CA198" s="408"/>
      <c r="CB198" s="321"/>
      <c r="CC198" s="407"/>
      <c r="CD198" s="408"/>
      <c r="CE198" s="321"/>
      <c r="CF198" s="407"/>
      <c r="CG198" s="408"/>
      <c r="CH198" s="321"/>
      <c r="CI198" s="407"/>
      <c r="CJ198" s="408"/>
      <c r="CK198" s="328"/>
      <c r="CL198" s="406"/>
    </row>
    <row r="199" spans="2:90" ht="72" thickBot="1" x14ac:dyDescent="0.25">
      <c r="B199" s="1152"/>
      <c r="C199" s="1140"/>
      <c r="D199" s="334" t="str">
        <f>+'Plan de Accion 2018'!F118</f>
        <v>Entrega de informes de seguimiento de carácter interno en el marco de la normatividad vigente</v>
      </c>
      <c r="E199" s="1146"/>
      <c r="F199" s="333" t="str">
        <f>+'Plan de Accion 2018'!R118</f>
        <v>(Número de informes presentados  / Número de informes programados en el marco de la normatividad vigente)*100</v>
      </c>
      <c r="H199" s="776">
        <f>+'Plan de Accion 2018'!AA118</f>
        <v>0.28000000000000003</v>
      </c>
      <c r="I199" s="777">
        <f>+'Plan de Accion 2018'!BL118</f>
        <v>1</v>
      </c>
      <c r="J199" s="777">
        <f t="shared" si="36"/>
        <v>1</v>
      </c>
      <c r="K199" s="777">
        <f>+'Plan de Accion 2018'!AE118</f>
        <v>0.28000000000000003</v>
      </c>
      <c r="L199" s="777">
        <f t="shared" si="37"/>
        <v>0.25</v>
      </c>
      <c r="M199" s="1391">
        <f t="shared" si="38"/>
        <v>0.25</v>
      </c>
      <c r="N199" s="887"/>
      <c r="O199" s="776">
        <f>+'Plan de Accion 2018'!AK118</f>
        <v>0.27777777777777779</v>
      </c>
      <c r="P199" s="777">
        <f>+'Plan de Accion 2018'!BN118</f>
        <v>0.99206349206349198</v>
      </c>
      <c r="Q199" s="870">
        <f t="shared" si="32"/>
        <v>0.99206349206349198</v>
      </c>
      <c r="R199" s="892">
        <f>+'Plan de Accion 2018'!AO118</f>
        <v>0.55777777777777782</v>
      </c>
      <c r="S199" s="892">
        <f t="shared" si="29"/>
        <v>0.5</v>
      </c>
      <c r="T199" s="878">
        <f t="shared" si="33"/>
        <v>0.5</v>
      </c>
      <c r="U199" s="336"/>
      <c r="V199" s="776">
        <f>+'Plan de Accion 2018'!AU118</f>
        <v>0</v>
      </c>
      <c r="W199" s="777">
        <f>+'Plan de Accion 2018'!BP118</f>
        <v>0</v>
      </c>
      <c r="X199" s="870">
        <f t="shared" si="34"/>
        <v>0</v>
      </c>
      <c r="Y199" s="777">
        <f>+'Plan de Accion 2018'!AY118</f>
        <v>0.55777777777777782</v>
      </c>
      <c r="Z199" s="892">
        <f t="shared" si="47"/>
        <v>0.55777777777777782</v>
      </c>
      <c r="AA199" s="878">
        <f t="shared" si="35"/>
        <v>0.55777777777777782</v>
      </c>
      <c r="AB199" s="336"/>
      <c r="AC199" s="330">
        <f>+'Plan de Accion 2018'!BE118</f>
        <v>0</v>
      </c>
      <c r="AD199" s="331">
        <f>+'Plan de Accion 2018'!BR118</f>
        <v>0</v>
      </c>
      <c r="AE199" s="870">
        <f t="shared" si="30"/>
        <v>0</v>
      </c>
      <c r="AF199" s="777">
        <f>+'Plan de Accion 2018'!BI118</f>
        <v>0.55777777777777782</v>
      </c>
      <c r="AG199" s="878">
        <f t="shared" si="31"/>
        <v>0.55777777777777782</v>
      </c>
      <c r="AH199" s="406"/>
      <c r="AJ199" s="407"/>
      <c r="AK199" s="408"/>
      <c r="AL199" s="321"/>
      <c r="AM199" s="407"/>
      <c r="AN199" s="408"/>
      <c r="AO199" s="321"/>
      <c r="AP199" s="407"/>
      <c r="AQ199" s="408"/>
      <c r="AR199" s="321"/>
      <c r="AS199" s="407"/>
      <c r="AT199" s="408"/>
      <c r="AU199" s="328"/>
      <c r="AV199" s="406"/>
      <c r="AX199" s="407"/>
      <c r="AY199" s="408"/>
      <c r="AZ199" s="321"/>
      <c r="BA199" s="407"/>
      <c r="BB199" s="408"/>
      <c r="BC199" s="321"/>
      <c r="BD199" s="407"/>
      <c r="BE199" s="408"/>
      <c r="BF199" s="321"/>
      <c r="BG199" s="407"/>
      <c r="BH199" s="408"/>
      <c r="BI199" s="328"/>
      <c r="BJ199" s="406"/>
      <c r="BL199" s="407"/>
      <c r="BM199" s="408"/>
      <c r="BN199" s="321"/>
      <c r="BO199" s="407"/>
      <c r="BP199" s="408"/>
      <c r="BQ199" s="321"/>
      <c r="BR199" s="407"/>
      <c r="BS199" s="408"/>
      <c r="BT199" s="321"/>
      <c r="BU199" s="407"/>
      <c r="BV199" s="408"/>
      <c r="BW199" s="328"/>
      <c r="BX199" s="406"/>
      <c r="BZ199" s="407"/>
      <c r="CA199" s="408"/>
      <c r="CB199" s="321"/>
      <c r="CC199" s="407"/>
      <c r="CD199" s="408"/>
      <c r="CE199" s="321"/>
      <c r="CF199" s="407"/>
      <c r="CG199" s="408"/>
      <c r="CH199" s="321"/>
      <c r="CI199" s="407"/>
      <c r="CJ199" s="408"/>
      <c r="CK199" s="328"/>
      <c r="CL199" s="406"/>
    </row>
    <row r="200" spans="2:90" ht="57.75" thickBot="1" x14ac:dyDescent="0.25">
      <c r="B200" s="1152"/>
      <c r="C200" s="1140"/>
      <c r="D200" s="334" t="str">
        <f>+'Plan de Accion 2018'!F120</f>
        <v>Seguimiento al Plan de Mejoramiento suscrito con la CGR-</v>
      </c>
      <c r="E200" s="1146"/>
      <c r="F200" s="333" t="str">
        <f>+'Plan de Accion 2018'!R120</f>
        <v xml:space="preserve">(Número de actividades cumplidas / Número de actividades suscritas con la CGR)*100 </v>
      </c>
      <c r="H200" s="776">
        <f>+'Plan de Accion 2018'!AA120</f>
        <v>0.5</v>
      </c>
      <c r="I200" s="777">
        <f>+'Plan de Accion 2018'!BL120</f>
        <v>1</v>
      </c>
      <c r="J200" s="777">
        <f t="shared" si="36"/>
        <v>1</v>
      </c>
      <c r="K200" s="777">
        <f>+'Plan de Accion 2018'!AE120</f>
        <v>0.5</v>
      </c>
      <c r="L200" s="777">
        <f t="shared" si="37"/>
        <v>0.25</v>
      </c>
      <c r="M200" s="1391">
        <f t="shared" si="38"/>
        <v>0.25</v>
      </c>
      <c r="N200" s="887"/>
      <c r="O200" s="776">
        <f>+'Plan de Accion 2018'!AK120</f>
        <v>0</v>
      </c>
      <c r="P200" s="777" t="str">
        <f>+'Plan de Accion 2018'!BN120</f>
        <v>No Prog ni Ejec</v>
      </c>
      <c r="Q200" s="870" t="s">
        <v>792</v>
      </c>
      <c r="R200" s="892">
        <f>+'Plan de Accion 2018'!AO120</f>
        <v>0.5</v>
      </c>
      <c r="S200" s="892">
        <f t="shared" si="29"/>
        <v>0.5</v>
      </c>
      <c r="T200" s="878">
        <f t="shared" si="33"/>
        <v>0.5</v>
      </c>
      <c r="U200" s="336"/>
      <c r="V200" s="776">
        <f>+'Plan de Accion 2018'!AU120</f>
        <v>0</v>
      </c>
      <c r="W200" s="777">
        <f>+'Plan de Accion 2018'!BP120</f>
        <v>0</v>
      </c>
      <c r="X200" s="870">
        <f t="shared" si="34"/>
        <v>0</v>
      </c>
      <c r="Y200" s="777">
        <f>+'Plan de Accion 2018'!AY120</f>
        <v>0.5</v>
      </c>
      <c r="Z200" s="892">
        <f t="shared" si="47"/>
        <v>0.5</v>
      </c>
      <c r="AA200" s="878">
        <f t="shared" si="35"/>
        <v>0.5</v>
      </c>
      <c r="AB200" s="336"/>
      <c r="AC200" s="330">
        <f>+'Plan de Accion 2018'!BE120</f>
        <v>0</v>
      </c>
      <c r="AD200" s="331" t="str">
        <f>+'Plan de Accion 2018'!BR120</f>
        <v>No Prog ni Ejec</v>
      </c>
      <c r="AE200" s="870" t="s">
        <v>792</v>
      </c>
      <c r="AF200" s="777">
        <f>+'Plan de Accion 2018'!BI120</f>
        <v>0.5</v>
      </c>
      <c r="AG200" s="878">
        <f t="shared" si="31"/>
        <v>0.5</v>
      </c>
      <c r="AH200" s="406"/>
      <c r="AJ200" s="407"/>
      <c r="AK200" s="408"/>
      <c r="AL200" s="321"/>
      <c r="AM200" s="407"/>
      <c r="AN200" s="408"/>
      <c r="AO200" s="321"/>
      <c r="AP200" s="407"/>
      <c r="AQ200" s="408"/>
      <c r="AR200" s="321"/>
      <c r="AS200" s="407"/>
      <c r="AT200" s="408"/>
      <c r="AU200" s="328"/>
      <c r="AV200" s="406"/>
      <c r="AX200" s="407"/>
      <c r="AY200" s="408"/>
      <c r="AZ200" s="321"/>
      <c r="BA200" s="407"/>
      <c r="BB200" s="408"/>
      <c r="BC200" s="321"/>
      <c r="BD200" s="407"/>
      <c r="BE200" s="408"/>
      <c r="BF200" s="321"/>
      <c r="BG200" s="407"/>
      <c r="BH200" s="408"/>
      <c r="BI200" s="328"/>
      <c r="BJ200" s="406"/>
      <c r="BL200" s="407"/>
      <c r="BM200" s="408"/>
      <c r="BN200" s="321"/>
      <c r="BO200" s="407"/>
      <c r="BP200" s="408"/>
      <c r="BQ200" s="321"/>
      <c r="BR200" s="407"/>
      <c r="BS200" s="408"/>
      <c r="BT200" s="321"/>
      <c r="BU200" s="407"/>
      <c r="BV200" s="408"/>
      <c r="BW200" s="328"/>
      <c r="BX200" s="406"/>
      <c r="BZ200" s="407"/>
      <c r="CA200" s="408"/>
      <c r="CB200" s="321"/>
      <c r="CC200" s="407"/>
      <c r="CD200" s="408"/>
      <c r="CE200" s="321"/>
      <c r="CF200" s="407"/>
      <c r="CG200" s="408"/>
      <c r="CH200" s="321"/>
      <c r="CI200" s="407"/>
      <c r="CJ200" s="408"/>
      <c r="CK200" s="328"/>
      <c r="CL200" s="406"/>
    </row>
    <row r="201" spans="2:90" ht="43.5" thickBot="1" x14ac:dyDescent="0.25">
      <c r="B201" s="1152"/>
      <c r="C201" s="1140"/>
      <c r="D201" s="334" t="str">
        <f>+'Plan de Accion 2018'!F123</f>
        <v>Procesos y Procedimientos formulados</v>
      </c>
      <c r="E201" s="1146" t="str">
        <f>+'Plan de Accion 2018'!B123</f>
        <v>Oficina Asesora Jurídica</v>
      </c>
      <c r="F201" s="333" t="str">
        <f>+'Plan de Accion 2018'!R123</f>
        <v># procedimientos Aprobados / # Procedimientos identificados</v>
      </c>
      <c r="H201" s="776">
        <f>+'Plan de Accion 2018'!AA123</f>
        <v>5.5555555555555552E-2</v>
      </c>
      <c r="I201" s="777">
        <f>+'Plan de Accion 2018'!BL123</f>
        <v>0.22222222222222221</v>
      </c>
      <c r="J201" s="777">
        <f t="shared" si="36"/>
        <v>0.22222222222222221</v>
      </c>
      <c r="K201" s="777">
        <f>+'Plan de Accion 2018'!AE123</f>
        <v>5.5555555555555552E-2</v>
      </c>
      <c r="L201" s="777">
        <f t="shared" si="37"/>
        <v>5.5555555555555552E-2</v>
      </c>
      <c r="M201" s="1391">
        <f t="shared" si="38"/>
        <v>5.5555555555555552E-2</v>
      </c>
      <c r="N201" s="887"/>
      <c r="O201" s="776">
        <f>+'Plan de Accion 2018'!AK123</f>
        <v>0</v>
      </c>
      <c r="P201" s="777">
        <f>+'Plan de Accion 2018'!BN123</f>
        <v>0</v>
      </c>
      <c r="Q201" s="870">
        <f t="shared" si="32"/>
        <v>0</v>
      </c>
      <c r="R201" s="892">
        <f>+'Plan de Accion 2018'!AO123</f>
        <v>5.5555555555555552E-2</v>
      </c>
      <c r="S201" s="892">
        <f t="shared" si="29"/>
        <v>5.5555555555555552E-2</v>
      </c>
      <c r="T201" s="878">
        <f t="shared" si="33"/>
        <v>5.5555555555555552E-2</v>
      </c>
      <c r="U201" s="336"/>
      <c r="V201" s="776">
        <f>+'Plan de Accion 2018'!AU123</f>
        <v>0</v>
      </c>
      <c r="W201" s="777">
        <f>+'Plan de Accion 2018'!BP123</f>
        <v>0</v>
      </c>
      <c r="X201" s="870">
        <f t="shared" si="34"/>
        <v>0</v>
      </c>
      <c r="Y201" s="777">
        <f>+'Plan de Accion 2018'!AY123</f>
        <v>5.5555555555555552E-2</v>
      </c>
      <c r="Z201" s="892">
        <f t="shared" si="47"/>
        <v>5.5555555555555552E-2</v>
      </c>
      <c r="AA201" s="878">
        <f t="shared" si="35"/>
        <v>5.5555555555555552E-2</v>
      </c>
      <c r="AB201" s="336"/>
      <c r="AC201" s="330">
        <f>+'Plan de Accion 2018'!BE123</f>
        <v>0</v>
      </c>
      <c r="AD201" s="331">
        <f>+'Plan de Accion 2018'!BR123</f>
        <v>0</v>
      </c>
      <c r="AE201" s="870">
        <f t="shared" si="30"/>
        <v>0</v>
      </c>
      <c r="AF201" s="777">
        <f>+'Plan de Accion 2018'!BI123</f>
        <v>5.5555555555555552E-2</v>
      </c>
      <c r="AG201" s="878">
        <f t="shared" si="31"/>
        <v>5.5555555555555552E-2</v>
      </c>
      <c r="AH201" s="406"/>
      <c r="AJ201" s="407"/>
      <c r="AK201" s="408"/>
      <c r="AL201" s="321"/>
      <c r="AM201" s="407"/>
      <c r="AN201" s="408"/>
      <c r="AO201" s="321"/>
      <c r="AP201" s="407"/>
      <c r="AQ201" s="408"/>
      <c r="AR201" s="321"/>
      <c r="AS201" s="407"/>
      <c r="AT201" s="408"/>
      <c r="AU201" s="328"/>
      <c r="AV201" s="406"/>
      <c r="AX201" s="407"/>
      <c r="AY201" s="408"/>
      <c r="AZ201" s="321"/>
      <c r="BA201" s="407"/>
      <c r="BB201" s="408"/>
      <c r="BC201" s="321"/>
      <c r="BD201" s="407"/>
      <c r="BE201" s="408"/>
      <c r="BF201" s="321"/>
      <c r="BG201" s="407"/>
      <c r="BH201" s="408"/>
      <c r="BI201" s="328"/>
      <c r="BJ201" s="406"/>
      <c r="BL201" s="407"/>
      <c r="BM201" s="408"/>
      <c r="BN201" s="321"/>
      <c r="BO201" s="407"/>
      <c r="BP201" s="408"/>
      <c r="BQ201" s="321"/>
      <c r="BR201" s="407"/>
      <c r="BS201" s="408"/>
      <c r="BT201" s="321"/>
      <c r="BU201" s="407"/>
      <c r="BV201" s="408"/>
      <c r="BW201" s="328"/>
      <c r="BX201" s="406"/>
      <c r="BZ201" s="407"/>
      <c r="CA201" s="408"/>
      <c r="CB201" s="321"/>
      <c r="CC201" s="407"/>
      <c r="CD201" s="408"/>
      <c r="CE201" s="321"/>
      <c r="CF201" s="407"/>
      <c r="CG201" s="408"/>
      <c r="CH201" s="321"/>
      <c r="CI201" s="407"/>
      <c r="CJ201" s="408"/>
      <c r="CK201" s="328"/>
      <c r="CL201" s="406"/>
    </row>
    <row r="202" spans="2:90" ht="43.5" thickBot="1" x14ac:dyDescent="0.25">
      <c r="B202" s="1152"/>
      <c r="C202" s="1141"/>
      <c r="D202" s="337" t="str">
        <f>+'Plan de Accion 2018'!F124</f>
        <v>Indicadores  y  acciones de mejora formulados</v>
      </c>
      <c r="E202" s="1167"/>
      <c r="F202" s="339" t="str">
        <f>+'Plan de Accion 2018'!R124</f>
        <v># Indicadores Medidos / # Indicadores Sujetos de Medición</v>
      </c>
      <c r="H202" s="340">
        <f>+'Plan de Accion 2018'!AA124</f>
        <v>0</v>
      </c>
      <c r="I202" s="928" t="str">
        <f>+'Plan de Accion 2018'!BL124</f>
        <v>No Prog ni Ejec</v>
      </c>
      <c r="J202" s="928" t="s">
        <v>792</v>
      </c>
      <c r="K202" s="928">
        <f>+'Plan de Accion 2018'!AE124</f>
        <v>0</v>
      </c>
      <c r="L202" s="928">
        <f t="shared" si="37"/>
        <v>0</v>
      </c>
      <c r="M202" s="930" t="s">
        <v>792</v>
      </c>
      <c r="N202" s="887"/>
      <c r="O202" s="340">
        <f>+'Plan de Accion 2018'!AK124</f>
        <v>0</v>
      </c>
      <c r="P202" s="890" t="str">
        <f>+'Plan de Accion 2018'!BN124</f>
        <v>No Prog ni Ejec</v>
      </c>
      <c r="Q202" s="872" t="s">
        <v>792</v>
      </c>
      <c r="R202" s="892">
        <f>+'Plan de Accion 2018'!AO124</f>
        <v>0</v>
      </c>
      <c r="S202" s="891">
        <f t="shared" si="29"/>
        <v>0</v>
      </c>
      <c r="T202" s="878" t="s">
        <v>792</v>
      </c>
      <c r="U202" s="336"/>
      <c r="V202" s="340">
        <f>+'Plan de Accion 2018'!AU124</f>
        <v>0</v>
      </c>
      <c r="W202" s="890" t="str">
        <f>+'Plan de Accion 2018'!BP124</f>
        <v>No Prog ni Ejec</v>
      </c>
      <c r="X202" s="870" t="s">
        <v>792</v>
      </c>
      <c r="Y202" s="890">
        <f>+'Plan de Accion 2018'!AY124</f>
        <v>0</v>
      </c>
      <c r="Z202" s="892">
        <f t="shared" si="47"/>
        <v>0</v>
      </c>
      <c r="AA202" s="878" t="s">
        <v>792</v>
      </c>
      <c r="AB202" s="336"/>
      <c r="AC202" s="340">
        <f>+'Plan de Accion 2018'!BE124</f>
        <v>0</v>
      </c>
      <c r="AD202" s="341">
        <f>+'Plan de Accion 2018'!BR124</f>
        <v>0</v>
      </c>
      <c r="AE202" s="870">
        <f t="shared" si="30"/>
        <v>0</v>
      </c>
      <c r="AF202" s="885">
        <f>+'Plan de Accion 2018'!BI124</f>
        <v>0</v>
      </c>
      <c r="AG202" s="878">
        <f t="shared" si="31"/>
        <v>0</v>
      </c>
      <c r="AH202" s="406"/>
      <c r="AJ202" s="407"/>
      <c r="AK202" s="408"/>
      <c r="AL202" s="321"/>
      <c r="AM202" s="407"/>
      <c r="AN202" s="408"/>
      <c r="AO202" s="321"/>
      <c r="AP202" s="407"/>
      <c r="AQ202" s="408"/>
      <c r="AR202" s="321"/>
      <c r="AS202" s="407"/>
      <c r="AT202" s="408"/>
      <c r="AU202" s="328"/>
      <c r="AV202" s="406"/>
      <c r="AX202" s="407"/>
      <c r="AY202" s="408"/>
      <c r="AZ202" s="321"/>
      <c r="BA202" s="407"/>
      <c r="BB202" s="408"/>
      <c r="BC202" s="321"/>
      <c r="BD202" s="407"/>
      <c r="BE202" s="408"/>
      <c r="BF202" s="321"/>
      <c r="BG202" s="407"/>
      <c r="BH202" s="408"/>
      <c r="BI202" s="328"/>
      <c r="BJ202" s="406"/>
      <c r="BL202" s="407"/>
      <c r="BM202" s="408"/>
      <c r="BN202" s="321"/>
      <c r="BO202" s="407"/>
      <c r="BP202" s="408"/>
      <c r="BQ202" s="321"/>
      <c r="BR202" s="407"/>
      <c r="BS202" s="408"/>
      <c r="BT202" s="321"/>
      <c r="BU202" s="407"/>
      <c r="BV202" s="408"/>
      <c r="BW202" s="328"/>
      <c r="BX202" s="406"/>
      <c r="BZ202" s="407"/>
      <c r="CA202" s="408"/>
      <c r="CB202" s="321"/>
      <c r="CC202" s="407"/>
      <c r="CD202" s="408"/>
      <c r="CE202" s="321"/>
      <c r="CF202" s="407"/>
      <c r="CG202" s="408"/>
      <c r="CH202" s="321"/>
      <c r="CI202" s="407"/>
      <c r="CJ202" s="408"/>
      <c r="CK202" s="328"/>
      <c r="CL202" s="406"/>
    </row>
    <row r="203" spans="2:90" ht="15.75" thickBot="1" x14ac:dyDescent="0.25">
      <c r="B203" s="1157"/>
      <c r="C203" s="1142" t="s">
        <v>811</v>
      </c>
      <c r="D203" s="1143"/>
      <c r="E203" s="1143"/>
      <c r="F203" s="1144"/>
      <c r="H203" s="358" t="s">
        <v>792</v>
      </c>
      <c r="I203" s="344">
        <f>SUM(I179:I202)/COUNT(I179:I202)</f>
        <v>1.3806873433046591</v>
      </c>
      <c r="J203" s="344">
        <f t="shared" si="36"/>
        <v>1</v>
      </c>
      <c r="K203" s="344">
        <f>SUM(K179:K202)/COUNT(K179:K202)</f>
        <v>0.22323239739135303</v>
      </c>
      <c r="L203" s="344">
        <f t="shared" ref="L203:M203" si="48">SUM(L179:L202)/COUNT(L179:L202)</f>
        <v>0.13916196088341651</v>
      </c>
      <c r="M203" s="346">
        <f t="shared" si="48"/>
        <v>0.22265913741346641</v>
      </c>
      <c r="N203" s="1406"/>
      <c r="O203" s="358" t="s">
        <v>792</v>
      </c>
      <c r="P203" s="876">
        <f>SUM(P179:P202)/COUNT(P179:P202)</f>
        <v>0.82580710988552208</v>
      </c>
      <c r="Q203" s="344">
        <f>SUM(Q179:Q202)/COUNT(Q179:Q202)</f>
        <v>0.7536917252701375</v>
      </c>
      <c r="R203" s="896">
        <f>SUM(R179:R202)/COUNT(R179:R202)</f>
        <v>0.41414807012139604</v>
      </c>
      <c r="S203" s="918">
        <f>SUM(S179:S202)/COUNT(S179:S202)</f>
        <v>0.39339775083659395</v>
      </c>
      <c r="T203" s="888">
        <f>SUM(T179:T202)/COUNT(T179:T202)</f>
        <v>0.55538506000460319</v>
      </c>
      <c r="U203" s="369"/>
      <c r="V203" s="358" t="s">
        <v>792</v>
      </c>
      <c r="W203" s="344">
        <f>SUM(W179:W202)/COUNT(W179:W202)</f>
        <v>0</v>
      </c>
      <c r="X203" s="344">
        <f>SUM(X179:X202)/COUNT(X179:X202)</f>
        <v>0</v>
      </c>
      <c r="Y203" s="876">
        <f>SUM(Y179:Y202)/COUNT(Y179:Y202)</f>
        <v>0.41414807012139604</v>
      </c>
      <c r="Z203" s="344">
        <f>SUM(Z179:Z202)/COUNT(Z179:Z202)</f>
        <v>0.4096940471328902</v>
      </c>
      <c r="AA203" s="346">
        <f>SUM(AA179:AA202)/COUNT(AA179:AA202)</f>
        <v>0.5783915959523156</v>
      </c>
      <c r="AB203" s="369"/>
      <c r="AC203" s="358" t="s">
        <v>792</v>
      </c>
      <c r="AD203" s="344">
        <f>SUM(AD179:AD202)/COUNT(AD179:AD202)</f>
        <v>0</v>
      </c>
      <c r="AE203" s="344">
        <f>SUM(AE179:AE202)/COUNT(AE179:AE202)</f>
        <v>0</v>
      </c>
      <c r="AF203" s="876">
        <f>SUM(AF179:AF202)/COUNT(AF179:AF202)</f>
        <v>0.41414807012139604</v>
      </c>
      <c r="AG203" s="346">
        <f>SUM(AG179:AG202)/COUNT(AG179:AG202)</f>
        <v>0.41400376997709581</v>
      </c>
      <c r="AH203" s="406"/>
      <c r="AJ203" s="407"/>
      <c r="AK203" s="408"/>
      <c r="AL203" s="321"/>
      <c r="AM203" s="407"/>
      <c r="AN203" s="408"/>
      <c r="AO203" s="321"/>
      <c r="AP203" s="407"/>
      <c r="AQ203" s="408"/>
      <c r="AR203" s="321"/>
      <c r="AS203" s="407"/>
      <c r="AT203" s="408"/>
      <c r="AU203" s="328"/>
      <c r="AV203" s="406"/>
      <c r="AX203" s="407"/>
      <c r="AY203" s="408"/>
      <c r="AZ203" s="321"/>
      <c r="BA203" s="407"/>
      <c r="BB203" s="408"/>
      <c r="BC203" s="321"/>
      <c r="BD203" s="407"/>
      <c r="BE203" s="408"/>
      <c r="BF203" s="321"/>
      <c r="BG203" s="407"/>
      <c r="BH203" s="408"/>
      <c r="BI203" s="328"/>
      <c r="BJ203" s="406"/>
      <c r="BL203" s="407"/>
      <c r="BM203" s="408"/>
      <c r="BN203" s="321"/>
      <c r="BO203" s="407"/>
      <c r="BP203" s="408"/>
      <c r="BQ203" s="321"/>
      <c r="BR203" s="407"/>
      <c r="BS203" s="408"/>
      <c r="BT203" s="321"/>
      <c r="BU203" s="407"/>
      <c r="BV203" s="408"/>
      <c r="BW203" s="328"/>
      <c r="BX203" s="406"/>
      <c r="BZ203" s="407"/>
      <c r="CA203" s="408"/>
      <c r="CB203" s="321"/>
      <c r="CC203" s="407"/>
      <c r="CD203" s="408"/>
      <c r="CE203" s="321"/>
      <c r="CF203" s="407"/>
      <c r="CG203" s="408"/>
      <c r="CH203" s="321"/>
      <c r="CI203" s="407"/>
      <c r="CJ203" s="408"/>
      <c r="CK203" s="328"/>
      <c r="CL203" s="406"/>
    </row>
    <row r="204" spans="2:90" ht="29.25" thickBot="1" x14ac:dyDescent="0.25">
      <c r="B204" s="1152"/>
      <c r="C204" s="1174" t="s">
        <v>144</v>
      </c>
      <c r="D204" s="403" t="str">
        <f>+'Plan de Accion 2018'!F63</f>
        <v xml:space="preserve">Estudios del Sector </v>
      </c>
      <c r="E204" s="403" t="str">
        <f>+'Plan de Accion 2018'!B63</f>
        <v>Dirección de Liquidaciones y Garantías</v>
      </c>
      <c r="F204" s="399" t="str">
        <f>+'Plan de Accion 2018'!R63</f>
        <v># Estudios realizados/# Estudios proyectados</v>
      </c>
      <c r="H204" s="782">
        <f>+'Plan de Accion 2018'!AA63</f>
        <v>2</v>
      </c>
      <c r="I204" s="929" t="str">
        <f>+'Plan de Accion 2018'!BL63</f>
        <v>No Prog, Ejec=  2</v>
      </c>
      <c r="J204" s="929">
        <f t="shared" si="36"/>
        <v>1</v>
      </c>
      <c r="K204" s="929">
        <f>+'Plan de Accion 2018'!AE63</f>
        <v>1</v>
      </c>
      <c r="L204" s="929">
        <f t="shared" si="37"/>
        <v>0.25</v>
      </c>
      <c r="M204" s="931">
        <f t="shared" si="38"/>
        <v>0.25</v>
      </c>
      <c r="N204" s="887"/>
      <c r="O204" s="782">
        <f>+'Plan de Accion 2018'!AK63</f>
        <v>5</v>
      </c>
      <c r="P204" s="892">
        <f>+'Plan de Accion 2018'!BN63</f>
        <v>5</v>
      </c>
      <c r="Q204" s="870">
        <f t="shared" si="32"/>
        <v>1</v>
      </c>
      <c r="R204" s="892">
        <f>+'Plan de Accion 2018'!AO63</f>
        <v>3.5</v>
      </c>
      <c r="S204" s="892">
        <f t="shared" si="29"/>
        <v>0.5</v>
      </c>
      <c r="T204" s="878">
        <f t="shared" si="33"/>
        <v>0.5</v>
      </c>
      <c r="U204" s="887">
        <v>1</v>
      </c>
      <c r="V204" s="782">
        <f>+'Plan de Accion 2018'!AU63</f>
        <v>0</v>
      </c>
      <c r="W204" s="892" t="str">
        <f>+'Plan de Accion 2018'!BP63</f>
        <v>No Prog ni Ejec</v>
      </c>
      <c r="X204" s="870" t="s">
        <v>792</v>
      </c>
      <c r="Y204" s="892">
        <f>+'Plan de Accion 2018'!AY63</f>
        <v>3.5</v>
      </c>
      <c r="Z204" s="892">
        <f t="shared" ref="Z204:Z205" si="49">IF(Y204&gt;75%,75%,Y204)</f>
        <v>0.75</v>
      </c>
      <c r="AA204" s="878">
        <f t="shared" si="35"/>
        <v>0.75</v>
      </c>
      <c r="AB204" s="336"/>
      <c r="AC204" s="782">
        <f>+'Plan de Accion 2018'!BE63</f>
        <v>0</v>
      </c>
      <c r="AD204" s="323">
        <f>+'Plan de Accion 2018'!BR63</f>
        <v>0</v>
      </c>
      <c r="AE204" s="870">
        <f t="shared" si="30"/>
        <v>0</v>
      </c>
      <c r="AF204" s="886">
        <f>+'Plan de Accion 2018'!BI63</f>
        <v>3.5</v>
      </c>
      <c r="AG204" s="878">
        <f t="shared" si="31"/>
        <v>1</v>
      </c>
      <c r="AH204" s="406"/>
      <c r="AJ204" s="407"/>
      <c r="AK204" s="408"/>
      <c r="AL204" s="321"/>
      <c r="AM204" s="407"/>
      <c r="AN204" s="408"/>
      <c r="AO204" s="321"/>
      <c r="AP204" s="407"/>
      <c r="AQ204" s="408"/>
      <c r="AR204" s="321"/>
      <c r="AS204" s="407"/>
      <c r="AT204" s="408"/>
      <c r="AU204" s="328"/>
      <c r="AV204" s="406"/>
      <c r="AX204" s="407"/>
      <c r="AY204" s="408"/>
      <c r="AZ204" s="321"/>
      <c r="BA204" s="407"/>
      <c r="BB204" s="408"/>
      <c r="BC204" s="321"/>
      <c r="BD204" s="407"/>
      <c r="BE204" s="408"/>
      <c r="BF204" s="321"/>
      <c r="BG204" s="407"/>
      <c r="BH204" s="408"/>
      <c r="BI204" s="328"/>
      <c r="BJ204" s="406"/>
      <c r="BL204" s="407"/>
      <c r="BM204" s="408"/>
      <c r="BN204" s="321"/>
      <c r="BO204" s="407"/>
      <c r="BP204" s="408"/>
      <c r="BQ204" s="321"/>
      <c r="BR204" s="407"/>
      <c r="BS204" s="408"/>
      <c r="BT204" s="321"/>
      <c r="BU204" s="407"/>
      <c r="BV204" s="408"/>
      <c r="BW204" s="328"/>
      <c r="BX204" s="406"/>
      <c r="BZ204" s="407"/>
      <c r="CA204" s="408"/>
      <c r="CB204" s="321"/>
      <c r="CC204" s="407"/>
      <c r="CD204" s="408"/>
      <c r="CE204" s="321"/>
      <c r="CF204" s="407"/>
      <c r="CG204" s="408"/>
      <c r="CH204" s="321"/>
      <c r="CI204" s="407"/>
      <c r="CJ204" s="408"/>
      <c r="CK204" s="328"/>
      <c r="CL204" s="406"/>
    </row>
    <row r="205" spans="2:90" ht="57.75" thickBot="1" x14ac:dyDescent="0.25">
      <c r="B205" s="1152"/>
      <c r="C205" s="1174"/>
      <c r="D205" s="338" t="str">
        <f>+'Plan de Accion 2018'!F71</f>
        <v>Informe de supervisión realizados en el período</v>
      </c>
      <c r="E205" s="338" t="str">
        <f>+'Plan de Accion 2018'!B71</f>
        <v xml:space="preserve">Dirección de Otras Prestaciones  </v>
      </c>
      <c r="F205" s="339" t="str">
        <f>+'Plan de Accion 2018'!R71</f>
        <v># Informes de supervisión realizados en el período / # Informes de supervisión proyectados</v>
      </c>
      <c r="H205" s="340">
        <f>+'Plan de Accion 2018'!AA71</f>
        <v>0.25</v>
      </c>
      <c r="I205" s="928">
        <f>+'Plan de Accion 2018'!BL71</f>
        <v>1</v>
      </c>
      <c r="J205" s="928">
        <f t="shared" si="36"/>
        <v>1</v>
      </c>
      <c r="K205" s="928">
        <f>+'Plan de Accion 2018'!AE71</f>
        <v>0.25</v>
      </c>
      <c r="L205" s="928">
        <f t="shared" si="37"/>
        <v>0.25</v>
      </c>
      <c r="M205" s="930">
        <f t="shared" si="38"/>
        <v>0.25</v>
      </c>
      <c r="N205" s="887"/>
      <c r="O205" s="340">
        <f>+'Plan de Accion 2018'!AK71</f>
        <v>0.25</v>
      </c>
      <c r="P205" s="890">
        <f>+'Plan de Accion 2018'!BN71</f>
        <v>1</v>
      </c>
      <c r="Q205" s="872">
        <f t="shared" ref="Q205:Q222" si="50">IF(P205&gt;100%,100%,P205)</f>
        <v>1</v>
      </c>
      <c r="R205" s="892">
        <f>+'Plan de Accion 2018'!AO71</f>
        <v>0.5</v>
      </c>
      <c r="S205" s="891">
        <f t="shared" ref="S205:S222" si="51">IF(R205&gt;50%,50%,R205)</f>
        <v>0.5</v>
      </c>
      <c r="T205" s="878">
        <f t="shared" ref="T205:T222" si="52">+S205</f>
        <v>0.5</v>
      </c>
      <c r="U205" s="336"/>
      <c r="V205" s="340">
        <f>+'Plan de Accion 2018'!AU71</f>
        <v>0</v>
      </c>
      <c r="W205" s="890">
        <f>+'Plan de Accion 2018'!BP71</f>
        <v>0</v>
      </c>
      <c r="X205" s="870">
        <f t="shared" ref="X205:X222" si="53">IF(W205&gt;100%,100%,W205)</f>
        <v>0</v>
      </c>
      <c r="Y205" s="890">
        <f>+'Plan de Accion 2018'!AY71</f>
        <v>0.5</v>
      </c>
      <c r="Z205" s="892">
        <f t="shared" si="49"/>
        <v>0.5</v>
      </c>
      <c r="AA205" s="878">
        <f t="shared" si="35"/>
        <v>0.5</v>
      </c>
      <c r="AB205" s="336"/>
      <c r="AC205" s="340">
        <f>+'Plan de Accion 2018'!BE71</f>
        <v>0</v>
      </c>
      <c r="AD205" s="341">
        <f>+'Plan de Accion 2018'!BR71</f>
        <v>0</v>
      </c>
      <c r="AE205" s="870">
        <f t="shared" ref="AE205:AE222" si="54">IF(AD205&gt;100%,100%,AD205)</f>
        <v>0</v>
      </c>
      <c r="AF205" s="885">
        <f>+'Plan de Accion 2018'!BI71</f>
        <v>0.5</v>
      </c>
      <c r="AG205" s="878">
        <f t="shared" ref="AG205:AG222" si="55">IF(AF205&gt;100%,100%,AF205)</f>
        <v>0.5</v>
      </c>
      <c r="AH205" s="406"/>
      <c r="AJ205" s="407"/>
      <c r="AK205" s="408"/>
      <c r="AL205" s="321"/>
      <c r="AM205" s="407"/>
      <c r="AN205" s="408"/>
      <c r="AO205" s="321"/>
      <c r="AP205" s="407"/>
      <c r="AQ205" s="408"/>
      <c r="AR205" s="321"/>
      <c r="AS205" s="407"/>
      <c r="AT205" s="408"/>
      <c r="AU205" s="328"/>
      <c r="AV205" s="406"/>
      <c r="AX205" s="407"/>
      <c r="AY205" s="408"/>
      <c r="AZ205" s="321"/>
      <c r="BA205" s="407"/>
      <c r="BB205" s="408"/>
      <c r="BC205" s="321"/>
      <c r="BD205" s="407"/>
      <c r="BE205" s="408"/>
      <c r="BF205" s="321"/>
      <c r="BG205" s="407"/>
      <c r="BH205" s="408"/>
      <c r="BI205" s="328"/>
      <c r="BJ205" s="406"/>
      <c r="BL205" s="407"/>
      <c r="BM205" s="408"/>
      <c r="BN205" s="321"/>
      <c r="BO205" s="407"/>
      <c r="BP205" s="408"/>
      <c r="BQ205" s="321"/>
      <c r="BR205" s="407"/>
      <c r="BS205" s="408"/>
      <c r="BT205" s="321"/>
      <c r="BU205" s="407"/>
      <c r="BV205" s="408"/>
      <c r="BW205" s="328"/>
      <c r="BX205" s="406"/>
      <c r="BZ205" s="407"/>
      <c r="CA205" s="408"/>
      <c r="CB205" s="321"/>
      <c r="CC205" s="407"/>
      <c r="CD205" s="408"/>
      <c r="CE205" s="321"/>
      <c r="CF205" s="407"/>
      <c r="CG205" s="408"/>
      <c r="CH205" s="321"/>
      <c r="CI205" s="407"/>
      <c r="CJ205" s="408"/>
      <c r="CK205" s="328"/>
      <c r="CL205" s="406"/>
    </row>
    <row r="206" spans="2:90" ht="15.75" thickBot="1" x14ac:dyDescent="0.25">
      <c r="B206" s="1157"/>
      <c r="C206" s="1142" t="s">
        <v>811</v>
      </c>
      <c r="D206" s="1143"/>
      <c r="E206" s="1143"/>
      <c r="F206" s="1144"/>
      <c r="H206" s="358" t="s">
        <v>792</v>
      </c>
      <c r="I206" s="344">
        <f>SUM(I204:I205)/COUNT(I204:I205)</f>
        <v>1</v>
      </c>
      <c r="J206" s="344">
        <f t="shared" si="36"/>
        <v>1</v>
      </c>
      <c r="K206" s="344">
        <f>SUM(K204:K205)/COUNT(K204:K205)</f>
        <v>0.625</v>
      </c>
      <c r="L206" s="344">
        <f t="shared" ref="L206:M206" si="56">SUM(L204:L205)/COUNT(L204:L205)</f>
        <v>0.25</v>
      </c>
      <c r="M206" s="346">
        <f t="shared" si="56"/>
        <v>0.25</v>
      </c>
      <c r="N206" s="1406"/>
      <c r="O206" s="358" t="s">
        <v>792</v>
      </c>
      <c r="P206" s="876">
        <f>SUM(P204:P205)/COUNT(P204:P205)</f>
        <v>3</v>
      </c>
      <c r="Q206" s="876">
        <f>SUM(Q204:Q205)/COUNT(Q204:Q205)</f>
        <v>1</v>
      </c>
      <c r="R206" s="880">
        <f>SUM(R204:R205)/COUNT(R204:R205)</f>
        <v>2</v>
      </c>
      <c r="S206" s="918">
        <f>SUM(S204:S205)/COUNT(S204:S205)</f>
        <v>0.5</v>
      </c>
      <c r="T206" s="888">
        <f>SUM(T204:T205)/COUNT(T204:T205)</f>
        <v>0.5</v>
      </c>
      <c r="U206" s="369"/>
      <c r="V206" s="358" t="s">
        <v>792</v>
      </c>
      <c r="W206" s="344">
        <f>SUM(W204:W205)/COUNT(W204:W205)</f>
        <v>0</v>
      </c>
      <c r="X206" s="876">
        <f>SUM(X204:X205)/COUNT(X204:X205)</f>
        <v>0</v>
      </c>
      <c r="Y206" s="897">
        <f>SUM(Y204:Y205)/COUNT(Y204:Y205)</f>
        <v>2</v>
      </c>
      <c r="Z206" s="344">
        <f>SUM(Z204:Z205)/COUNT(Z204:Z205)</f>
        <v>0.625</v>
      </c>
      <c r="AA206" s="346">
        <f>SUM(AA204:AA205)/COUNT(AA204:AA205)</f>
        <v>0.625</v>
      </c>
      <c r="AB206" s="369"/>
      <c r="AC206" s="358" t="s">
        <v>792</v>
      </c>
      <c r="AD206" s="344">
        <f>SUM(AD204:AD205)/COUNT(AD204:AD205)</f>
        <v>0</v>
      </c>
      <c r="AE206" s="344">
        <f>SUM(AE204:AE205)/COUNT(AE204:AE205)</f>
        <v>0</v>
      </c>
      <c r="AF206" s="876">
        <f>SUM(AF204:AF205)/COUNT(AF204:AF205)</f>
        <v>2</v>
      </c>
      <c r="AG206" s="346">
        <f>SUM(AG204:AG205)/COUNT(AG204:AG205)</f>
        <v>0.75</v>
      </c>
      <c r="AH206" s="406"/>
      <c r="AJ206" s="407"/>
      <c r="AK206" s="408"/>
      <c r="AL206" s="321"/>
      <c r="AM206" s="407"/>
      <c r="AN206" s="408"/>
      <c r="AO206" s="321"/>
      <c r="AP206" s="407"/>
      <c r="AQ206" s="408"/>
      <c r="AR206" s="321"/>
      <c r="AS206" s="407"/>
      <c r="AT206" s="408"/>
      <c r="AU206" s="328"/>
      <c r="AV206" s="406"/>
      <c r="AX206" s="407"/>
      <c r="AY206" s="408"/>
      <c r="AZ206" s="321"/>
      <c r="BA206" s="407"/>
      <c r="BB206" s="408"/>
      <c r="BC206" s="321"/>
      <c r="BD206" s="407"/>
      <c r="BE206" s="408"/>
      <c r="BF206" s="321"/>
      <c r="BG206" s="407"/>
      <c r="BH206" s="408"/>
      <c r="BI206" s="328"/>
      <c r="BJ206" s="406"/>
      <c r="BL206" s="407"/>
      <c r="BM206" s="408"/>
      <c r="BN206" s="321"/>
      <c r="BO206" s="407"/>
      <c r="BP206" s="408"/>
      <c r="BQ206" s="321"/>
      <c r="BR206" s="407"/>
      <c r="BS206" s="408"/>
      <c r="BT206" s="321"/>
      <c r="BU206" s="407"/>
      <c r="BV206" s="408"/>
      <c r="BW206" s="328"/>
      <c r="BX206" s="406"/>
      <c r="BZ206" s="407"/>
      <c r="CA206" s="408"/>
      <c r="CB206" s="321"/>
      <c r="CC206" s="407"/>
      <c r="CD206" s="408"/>
      <c r="CE206" s="321"/>
      <c r="CF206" s="407"/>
      <c r="CG206" s="408"/>
      <c r="CH206" s="321"/>
      <c r="CI206" s="407"/>
      <c r="CJ206" s="408"/>
      <c r="CK206" s="328"/>
      <c r="CL206" s="406"/>
    </row>
    <row r="207" spans="2:90" ht="57.75" thickBot="1" x14ac:dyDescent="0.25">
      <c r="B207" s="1152"/>
      <c r="C207" s="1147" t="s">
        <v>147</v>
      </c>
      <c r="D207" s="845" t="str">
        <f>+'Plan de Accion 2018'!F79</f>
        <v>Impartir los lineamientos en materia tecnológica para definir políticas, estrategias y prácticas que soporten la gestión del Sector</v>
      </c>
      <c r="E207" s="1164" t="str">
        <f>+'Plan de Accion 2018'!B79</f>
        <v>Dirección de Gestión de Tecnología de la Información y la Comunicación</v>
      </c>
      <c r="F207" s="361" t="str">
        <f>+'Plan de Accion 2018'!R79</f>
        <v># Planes asociados a la DGTIC aprobados / # Planes asociados a la DGTIC establecidos</v>
      </c>
      <c r="H207" s="322">
        <f>+'Plan de Accion 2018'!AA79</f>
        <v>0</v>
      </c>
      <c r="I207" s="929" t="str">
        <f>+'Plan de Accion 2018'!BL79</f>
        <v>No Prog ni Ejec</v>
      </c>
      <c r="J207" s="929">
        <f t="shared" si="36"/>
        <v>1</v>
      </c>
      <c r="K207" s="929">
        <f>+'Plan de Accion 2018'!AE79</f>
        <v>0</v>
      </c>
      <c r="L207" s="929">
        <f t="shared" si="37"/>
        <v>0</v>
      </c>
      <c r="M207" s="931">
        <f t="shared" si="38"/>
        <v>0</v>
      </c>
      <c r="N207" s="887"/>
      <c r="O207" s="322">
        <f>+'Plan de Accion 2018'!AK79</f>
        <v>0.16</v>
      </c>
      <c r="P207" s="892">
        <f>+'Plan de Accion 2018'!BN79</f>
        <v>1</v>
      </c>
      <c r="Q207" s="870">
        <f t="shared" si="50"/>
        <v>1</v>
      </c>
      <c r="R207" s="892">
        <f>+'Plan de Accion 2018'!AO79</f>
        <v>0.16</v>
      </c>
      <c r="S207" s="892">
        <f t="shared" si="51"/>
        <v>0.16</v>
      </c>
      <c r="T207" s="878">
        <f t="shared" si="52"/>
        <v>0.16</v>
      </c>
      <c r="U207" s="336"/>
      <c r="V207" s="322">
        <f>+'Plan de Accion 2018'!AU79</f>
        <v>0</v>
      </c>
      <c r="W207" s="892">
        <f>+'Plan de Accion 2018'!BP79</f>
        <v>0</v>
      </c>
      <c r="X207" s="870">
        <f t="shared" si="53"/>
        <v>0</v>
      </c>
      <c r="Y207" s="892">
        <f>+'Plan de Accion 2018'!AY79</f>
        <v>0.16</v>
      </c>
      <c r="Z207" s="892">
        <f t="shared" ref="Z207:Z209" si="57">IF(Y207&gt;75%,75%,Y207)</f>
        <v>0.16</v>
      </c>
      <c r="AA207" s="878">
        <f t="shared" ref="AA207:AA222" si="58">+Z207</f>
        <v>0.16</v>
      </c>
      <c r="AB207" s="336"/>
      <c r="AC207" s="322">
        <f>+'Plan de Accion 2018'!BE79</f>
        <v>0</v>
      </c>
      <c r="AD207" s="323">
        <f>+'Plan de Accion 2018'!BR79</f>
        <v>0</v>
      </c>
      <c r="AE207" s="870">
        <f t="shared" si="54"/>
        <v>0</v>
      </c>
      <c r="AF207" s="886">
        <f>+'Plan de Accion 2018'!BI79</f>
        <v>0.16</v>
      </c>
      <c r="AG207" s="878">
        <f t="shared" si="55"/>
        <v>0.16</v>
      </c>
      <c r="AH207" s="406"/>
      <c r="AJ207" s="407"/>
      <c r="AK207" s="408"/>
      <c r="AL207" s="321"/>
      <c r="AM207" s="407"/>
      <c r="AN207" s="408"/>
      <c r="AO207" s="321"/>
      <c r="AP207" s="407"/>
      <c r="AQ207" s="408"/>
      <c r="AR207" s="321"/>
      <c r="AS207" s="407"/>
      <c r="AT207" s="408"/>
      <c r="AU207" s="328"/>
      <c r="AV207" s="406"/>
      <c r="AX207" s="407"/>
      <c r="AY207" s="408"/>
      <c r="AZ207" s="321"/>
      <c r="BA207" s="407"/>
      <c r="BB207" s="408"/>
      <c r="BC207" s="321"/>
      <c r="BD207" s="407"/>
      <c r="BE207" s="408"/>
      <c r="BF207" s="321"/>
      <c r="BG207" s="407"/>
      <c r="BH207" s="408"/>
      <c r="BI207" s="328"/>
      <c r="BJ207" s="406"/>
      <c r="BL207" s="407"/>
      <c r="BM207" s="408"/>
      <c r="BN207" s="321"/>
      <c r="BO207" s="407"/>
      <c r="BP207" s="408"/>
      <c r="BQ207" s="321"/>
      <c r="BR207" s="407"/>
      <c r="BS207" s="408"/>
      <c r="BT207" s="321"/>
      <c r="BU207" s="407"/>
      <c r="BV207" s="408"/>
      <c r="BW207" s="328"/>
      <c r="BX207" s="406"/>
      <c r="BZ207" s="407"/>
      <c r="CA207" s="408"/>
      <c r="CB207" s="321"/>
      <c r="CC207" s="407"/>
      <c r="CD207" s="408"/>
      <c r="CE207" s="321"/>
      <c r="CF207" s="407"/>
      <c r="CG207" s="408"/>
      <c r="CH207" s="321"/>
      <c r="CI207" s="407"/>
      <c r="CJ207" s="408"/>
      <c r="CK207" s="328"/>
      <c r="CL207" s="406"/>
    </row>
    <row r="208" spans="2:90" ht="114.75" thickBot="1" x14ac:dyDescent="0.25">
      <c r="B208" s="1152"/>
      <c r="C208" s="1140"/>
      <c r="D208" s="793" t="str">
        <f>+'Plan de Accion 2018'!F83</f>
        <v>Implementar estrategias, instrumentos y herramientas con aplicación de tecnologías de la información y las comunicaciones para brindar de manera constante y permanente un buen servicio al ciudadano y a las entidades del Sector.</v>
      </c>
      <c r="E208" s="1164"/>
      <c r="F208" s="356" t="str">
        <f>+'Plan de Accion 2018'!R83</f>
        <v># herramientas, instrumentos y/o herramientas implementados / # herramientas, instrumentos y/o herramientas requeridos</v>
      </c>
      <c r="H208" s="776">
        <f>+'Plan de Accion 2018'!AA83</f>
        <v>5.434802770706449E-2</v>
      </c>
      <c r="I208" s="777">
        <f>+'Plan de Accion 2018'!BL83</f>
        <v>0.42773067983005358</v>
      </c>
      <c r="J208" s="777">
        <f t="shared" si="36"/>
        <v>0.42773067983005358</v>
      </c>
      <c r="K208" s="777">
        <f>+'Plan de Accion 2018'!AE83</f>
        <v>5.434802770706449E-2</v>
      </c>
      <c r="L208" s="777">
        <f t="shared" si="37"/>
        <v>5.434802770706449E-2</v>
      </c>
      <c r="M208" s="1391">
        <f t="shared" si="38"/>
        <v>5.434802770706449E-2</v>
      </c>
      <c r="N208" s="887"/>
      <c r="O208" s="776">
        <f>+'Plan de Accion 2018'!AK83</f>
        <v>0.15279999999999999</v>
      </c>
      <c r="P208" s="777">
        <f>+'Plan de Accion 2018'!BN83</f>
        <v>0.66666666666666663</v>
      </c>
      <c r="Q208" s="870">
        <f t="shared" si="50"/>
        <v>0.66666666666666663</v>
      </c>
      <c r="R208" s="892">
        <f>+'Plan de Accion 2018'!AO83</f>
        <v>0.20714802770706447</v>
      </c>
      <c r="S208" s="892">
        <f t="shared" si="51"/>
        <v>0.20714802770706447</v>
      </c>
      <c r="T208" s="878">
        <f t="shared" si="52"/>
        <v>0.20714802770706447</v>
      </c>
      <c r="U208" s="336"/>
      <c r="V208" s="776">
        <f>+'Plan de Accion 2018'!AU83</f>
        <v>0</v>
      </c>
      <c r="W208" s="777">
        <f>+'Plan de Accion 2018'!BP83</f>
        <v>0</v>
      </c>
      <c r="X208" s="870">
        <f t="shared" si="53"/>
        <v>0</v>
      </c>
      <c r="Y208" s="777">
        <f>+'Plan de Accion 2018'!AY83</f>
        <v>0.20714802770706447</v>
      </c>
      <c r="Z208" s="892">
        <f t="shared" si="57"/>
        <v>0.20714802770706447</v>
      </c>
      <c r="AA208" s="878">
        <f t="shared" si="58"/>
        <v>0.20714802770706447</v>
      </c>
      <c r="AB208" s="336"/>
      <c r="AC208" s="330">
        <f>+'Plan de Accion 2018'!BE83</f>
        <v>0</v>
      </c>
      <c r="AD208" s="331">
        <f>+'Plan de Accion 2018'!BR83</f>
        <v>0</v>
      </c>
      <c r="AE208" s="870">
        <f t="shared" si="54"/>
        <v>0</v>
      </c>
      <c r="AF208" s="777">
        <f>+'Plan de Accion 2018'!BI83</f>
        <v>0.20714802770706447</v>
      </c>
      <c r="AG208" s="878">
        <f t="shared" si="55"/>
        <v>0.20714802770706447</v>
      </c>
      <c r="AH208" s="406"/>
      <c r="AJ208" s="407"/>
      <c r="AK208" s="408"/>
      <c r="AL208" s="321"/>
      <c r="AM208" s="407"/>
      <c r="AN208" s="408"/>
      <c r="AO208" s="321"/>
      <c r="AP208" s="407"/>
      <c r="AQ208" s="408"/>
      <c r="AR208" s="321"/>
      <c r="AS208" s="407"/>
      <c r="AT208" s="408"/>
      <c r="AU208" s="328"/>
      <c r="AV208" s="406"/>
      <c r="AX208" s="407"/>
      <c r="AY208" s="408"/>
      <c r="AZ208" s="321"/>
      <c r="BA208" s="407"/>
      <c r="BB208" s="408"/>
      <c r="BC208" s="321"/>
      <c r="BD208" s="407"/>
      <c r="BE208" s="408"/>
      <c r="BF208" s="321"/>
      <c r="BG208" s="407"/>
      <c r="BH208" s="408"/>
      <c r="BI208" s="328"/>
      <c r="BJ208" s="406"/>
      <c r="BL208" s="407"/>
      <c r="BM208" s="408"/>
      <c r="BN208" s="321"/>
      <c r="BO208" s="407"/>
      <c r="BP208" s="408"/>
      <c r="BQ208" s="321"/>
      <c r="BR208" s="407"/>
      <c r="BS208" s="408"/>
      <c r="BT208" s="321"/>
      <c r="BU208" s="407"/>
      <c r="BV208" s="408"/>
      <c r="BW208" s="328"/>
      <c r="BX208" s="406"/>
      <c r="BZ208" s="407"/>
      <c r="CA208" s="408"/>
      <c r="CB208" s="321"/>
      <c r="CC208" s="407"/>
      <c r="CD208" s="408"/>
      <c r="CE208" s="321"/>
      <c r="CF208" s="407"/>
      <c r="CG208" s="408"/>
      <c r="CH208" s="321"/>
      <c r="CI208" s="407"/>
      <c r="CJ208" s="408"/>
      <c r="CK208" s="328"/>
      <c r="CL208" s="406"/>
    </row>
    <row r="209" spans="2:90" ht="43.5" thickBot="1" x14ac:dyDescent="0.25">
      <c r="B209" s="1152"/>
      <c r="C209" s="1141"/>
      <c r="D209" s="846" t="str">
        <f>+'Plan de Accion 2018'!J84</f>
        <v>Desarrollo de nuevos Sistemas de información</v>
      </c>
      <c r="E209" s="1164"/>
      <c r="F209" s="392" t="str">
        <f>+'Plan de Accion 2018'!R84</f>
        <v># sistemas de información desarrollados / # sistemas de información requeridos</v>
      </c>
      <c r="H209" s="340">
        <f>+'Plan de Accion 2018'!AA84</f>
        <v>0</v>
      </c>
      <c r="I209" s="928" t="str">
        <f>+'Plan de Accion 2018'!BL84</f>
        <v>No Prog ni Ejec</v>
      </c>
      <c r="J209" s="928">
        <f t="shared" ref="J209:J227" si="59">IF(I209&gt;100%,100%,I209)</f>
        <v>1</v>
      </c>
      <c r="K209" s="928">
        <f>+'Plan de Accion 2018'!AE84</f>
        <v>0</v>
      </c>
      <c r="L209" s="928">
        <f t="shared" ref="L209:L227" si="60">IF(K209&gt;25%,25%,K209)</f>
        <v>0</v>
      </c>
      <c r="M209" s="930">
        <f t="shared" ref="M209:M227" si="61">+L209</f>
        <v>0</v>
      </c>
      <c r="N209" s="887"/>
      <c r="O209" s="340">
        <f>+'Plan de Accion 2018'!AK84</f>
        <v>0</v>
      </c>
      <c r="P209" s="890">
        <f>+'Plan de Accion 2018'!BN84</f>
        <v>0</v>
      </c>
      <c r="Q209" s="872">
        <f t="shared" si="50"/>
        <v>0</v>
      </c>
      <c r="R209" s="892">
        <f>+'Plan de Accion 2018'!AO84</f>
        <v>0</v>
      </c>
      <c r="S209" s="891">
        <f t="shared" si="51"/>
        <v>0</v>
      </c>
      <c r="T209" s="878">
        <f t="shared" si="52"/>
        <v>0</v>
      </c>
      <c r="U209" s="336"/>
      <c r="V209" s="340">
        <f>+'Plan de Accion 2018'!AU84</f>
        <v>0</v>
      </c>
      <c r="W209" s="890">
        <f>+'Plan de Accion 2018'!BP84</f>
        <v>0</v>
      </c>
      <c r="X209" s="870">
        <f t="shared" si="53"/>
        <v>0</v>
      </c>
      <c r="Y209" s="890">
        <f>+'Plan de Accion 2018'!AY84</f>
        <v>0</v>
      </c>
      <c r="Z209" s="892">
        <f t="shared" si="57"/>
        <v>0</v>
      </c>
      <c r="AA209" s="878">
        <f t="shared" si="58"/>
        <v>0</v>
      </c>
      <c r="AB209" s="336"/>
      <c r="AC209" s="340">
        <f>+'Plan de Accion 2018'!BE84</f>
        <v>0</v>
      </c>
      <c r="AD209" s="341">
        <f>+'Plan de Accion 2018'!BR84</f>
        <v>0</v>
      </c>
      <c r="AE209" s="870">
        <f t="shared" si="54"/>
        <v>0</v>
      </c>
      <c r="AF209" s="885">
        <f>+'Plan de Accion 2018'!BI84</f>
        <v>0</v>
      </c>
      <c r="AG209" s="878">
        <f t="shared" si="55"/>
        <v>0</v>
      </c>
      <c r="AH209" s="406"/>
      <c r="AJ209" s="407"/>
      <c r="AK209" s="408"/>
      <c r="AL209" s="321"/>
      <c r="AM209" s="407"/>
      <c r="AN209" s="408"/>
      <c r="AO209" s="321"/>
      <c r="AP209" s="407"/>
      <c r="AQ209" s="408"/>
      <c r="AR209" s="321"/>
      <c r="AS209" s="407"/>
      <c r="AT209" s="408"/>
      <c r="AU209" s="328"/>
      <c r="AV209" s="406"/>
      <c r="AX209" s="407"/>
      <c r="AY209" s="408"/>
      <c r="AZ209" s="321"/>
      <c r="BA209" s="407"/>
      <c r="BB209" s="408"/>
      <c r="BC209" s="321"/>
      <c r="BD209" s="407"/>
      <c r="BE209" s="408"/>
      <c r="BF209" s="321"/>
      <c r="BG209" s="407"/>
      <c r="BH209" s="408"/>
      <c r="BI209" s="328"/>
      <c r="BJ209" s="406"/>
      <c r="BL209" s="407"/>
      <c r="BM209" s="408"/>
      <c r="BN209" s="321"/>
      <c r="BO209" s="407"/>
      <c r="BP209" s="408"/>
      <c r="BQ209" s="321"/>
      <c r="BR209" s="407"/>
      <c r="BS209" s="408"/>
      <c r="BT209" s="321"/>
      <c r="BU209" s="407"/>
      <c r="BV209" s="408"/>
      <c r="BW209" s="328"/>
      <c r="BX209" s="406"/>
      <c r="BZ209" s="407"/>
      <c r="CA209" s="408"/>
      <c r="CB209" s="321"/>
      <c r="CC209" s="407"/>
      <c r="CD209" s="408"/>
      <c r="CE209" s="321"/>
      <c r="CF209" s="407"/>
      <c r="CG209" s="408"/>
      <c r="CH209" s="321"/>
      <c r="CI209" s="407"/>
      <c r="CJ209" s="408"/>
      <c r="CK209" s="328"/>
      <c r="CL209" s="406"/>
    </row>
    <row r="210" spans="2:90" ht="15.75" thickBot="1" x14ac:dyDescent="0.25">
      <c r="B210" s="1157"/>
      <c r="C210" s="1168" t="s">
        <v>811</v>
      </c>
      <c r="D210" s="1169"/>
      <c r="E210" s="1169"/>
      <c r="F210" s="1170"/>
      <c r="H210" s="358" t="s">
        <v>792</v>
      </c>
      <c r="I210" s="344">
        <f>SUM(I207:I209)/COUNT(I207:I209)</f>
        <v>0.42773067983005358</v>
      </c>
      <c r="J210" s="344">
        <f t="shared" si="59"/>
        <v>0.42773067983005358</v>
      </c>
      <c r="K210" s="344">
        <f>SUM(K207:K209)/COUNT(K207:K209)</f>
        <v>1.8116009235688162E-2</v>
      </c>
      <c r="L210" s="344">
        <f t="shared" ref="L210:M210" si="62">SUM(L207:L209)/COUNT(L207:L209)</f>
        <v>1.8116009235688162E-2</v>
      </c>
      <c r="M210" s="346">
        <f t="shared" si="62"/>
        <v>1.8116009235688162E-2</v>
      </c>
      <c r="N210" s="1406"/>
      <c r="O210" s="358" t="s">
        <v>792</v>
      </c>
      <c r="P210" s="876">
        <f>SUM(P207:P209)/COUNT(P207:P209)</f>
        <v>0.55555555555555547</v>
      </c>
      <c r="Q210" s="876">
        <f>SUM(Q207:Q209)/COUNT(Q207:Q209)</f>
        <v>0.55555555555555547</v>
      </c>
      <c r="R210" s="880">
        <f>SUM(R207:R209)/COUNT(R207:R209)</f>
        <v>0.12238267590235481</v>
      </c>
      <c r="S210" s="918">
        <f>SUM(S207:S209)/COUNT(S207:S209)</f>
        <v>0.12238267590235481</v>
      </c>
      <c r="T210" s="888">
        <f>SUM(T207:T209)/COUNT(T207:T209)</f>
        <v>0.12238267590235481</v>
      </c>
      <c r="U210" s="369"/>
      <c r="V210" s="358" t="s">
        <v>792</v>
      </c>
      <c r="W210" s="344">
        <f>SUM(W207:W209)/COUNT(W207:W209)</f>
        <v>0</v>
      </c>
      <c r="X210" s="344">
        <f>SUM(X207:X209)/COUNT(X207:X209)</f>
        <v>0</v>
      </c>
      <c r="Y210" s="876">
        <f>SUM(Y207:Y209)/COUNT(Y207:Y209)</f>
        <v>0.12238267590235481</v>
      </c>
      <c r="Z210" s="344">
        <f>SUM(Z207:Z209)/COUNT(Z207:Z209)</f>
        <v>0.12238267590235481</v>
      </c>
      <c r="AA210" s="346">
        <f>SUM(AA207:AA209)/COUNT(AA207:AA209)</f>
        <v>0.12238267590235481</v>
      </c>
      <c r="AB210" s="369"/>
      <c r="AC210" s="358" t="s">
        <v>792</v>
      </c>
      <c r="AD210" s="344">
        <f>SUM(AD207:AD209)/COUNT(AD207:AD209)</f>
        <v>0</v>
      </c>
      <c r="AE210" s="344">
        <f>SUM(AE207:AE209)/COUNT(AE207:AE209)</f>
        <v>0</v>
      </c>
      <c r="AF210" s="876">
        <f>SUM(AF207:AF209)/COUNT(AF207:AF209)</f>
        <v>0.12238267590235481</v>
      </c>
      <c r="AG210" s="346">
        <f>SUM(AG207:AG209)/COUNT(AG207:AG209)</f>
        <v>0.12238267590235481</v>
      </c>
      <c r="AH210" s="406"/>
      <c r="AJ210" s="407"/>
      <c r="AK210" s="408"/>
      <c r="AL210" s="321"/>
      <c r="AM210" s="407"/>
      <c r="AN210" s="408"/>
      <c r="AO210" s="321"/>
      <c r="AP210" s="407"/>
      <c r="AQ210" s="408"/>
      <c r="AR210" s="321"/>
      <c r="AS210" s="407"/>
      <c r="AT210" s="408"/>
      <c r="AU210" s="328"/>
      <c r="AV210" s="406"/>
      <c r="AX210" s="407"/>
      <c r="AY210" s="408"/>
      <c r="AZ210" s="321"/>
      <c r="BA210" s="407"/>
      <c r="BB210" s="408"/>
      <c r="BC210" s="321"/>
      <c r="BD210" s="407"/>
      <c r="BE210" s="408"/>
      <c r="BF210" s="321"/>
      <c r="BG210" s="407"/>
      <c r="BH210" s="408"/>
      <c r="BI210" s="328"/>
      <c r="BJ210" s="406"/>
      <c r="BL210" s="407"/>
      <c r="BM210" s="408"/>
      <c r="BN210" s="321"/>
      <c r="BO210" s="407"/>
      <c r="BP210" s="408"/>
      <c r="BQ210" s="321"/>
      <c r="BR210" s="407"/>
      <c r="BS210" s="408"/>
      <c r="BT210" s="321"/>
      <c r="BU210" s="407"/>
      <c r="BV210" s="408"/>
      <c r="BW210" s="328"/>
      <c r="BX210" s="406"/>
      <c r="BZ210" s="407"/>
      <c r="CA210" s="408"/>
      <c r="CB210" s="321"/>
      <c r="CC210" s="407"/>
      <c r="CD210" s="408"/>
      <c r="CE210" s="321"/>
      <c r="CF210" s="407"/>
      <c r="CG210" s="408"/>
      <c r="CH210" s="321"/>
      <c r="CI210" s="407"/>
      <c r="CJ210" s="408"/>
      <c r="CK210" s="328"/>
      <c r="CL210" s="406"/>
    </row>
    <row r="211" spans="2:90" ht="72" thickBot="1" x14ac:dyDescent="0.25">
      <c r="B211" s="1152"/>
      <c r="C211" s="1171" t="s">
        <v>146</v>
      </c>
      <c r="D211" s="360" t="str">
        <f>+'Plan de Accion 2018'!F73</f>
        <v>Apoyos técnicos entregados a la OAJ en recobros y reclamaciones una vez son resueltos por la Dirección de Tecnología de la Información</v>
      </c>
      <c r="E211" s="360" t="str">
        <f>+'Plan de Accion 2018'!B73</f>
        <v xml:space="preserve">Dirección de Otras Prestaciones  </v>
      </c>
      <c r="F211" s="399" t="str">
        <f>+'Plan de Accion 2018'!R73</f>
        <v># Apoyos Técnicos Entregados a la OAJ / # Apoyos Técnicos resueltos por la Dirección de Tecnología</v>
      </c>
      <c r="H211" s="322">
        <f>+'Plan de Accion 2018'!AA73</f>
        <v>0.25</v>
      </c>
      <c r="I211" s="929">
        <f>+'Plan de Accion 2018'!BL73</f>
        <v>1</v>
      </c>
      <c r="J211" s="929">
        <f t="shared" si="59"/>
        <v>1</v>
      </c>
      <c r="K211" s="929">
        <f>+'Plan de Accion 2018'!AE73</f>
        <v>0.25</v>
      </c>
      <c r="L211" s="929">
        <f t="shared" si="60"/>
        <v>0.25</v>
      </c>
      <c r="M211" s="931">
        <f t="shared" si="61"/>
        <v>0.25</v>
      </c>
      <c r="N211" s="887"/>
      <c r="O211" s="322">
        <f>+'Plan de Accion 2018'!AK73</f>
        <v>0.25</v>
      </c>
      <c r="P211" s="892">
        <f>+'Plan de Accion 2018'!BN73</f>
        <v>1</v>
      </c>
      <c r="Q211" s="870">
        <f t="shared" si="50"/>
        <v>1</v>
      </c>
      <c r="R211" s="892">
        <f>+'Plan de Accion 2018'!AO73</f>
        <v>0.5</v>
      </c>
      <c r="S211" s="892">
        <f t="shared" si="51"/>
        <v>0.5</v>
      </c>
      <c r="T211" s="878">
        <f t="shared" si="52"/>
        <v>0.5</v>
      </c>
      <c r="U211" s="336"/>
      <c r="V211" s="322">
        <f>+'Plan de Accion 2018'!AU73</f>
        <v>0</v>
      </c>
      <c r="W211" s="892">
        <f>+'Plan de Accion 2018'!BP73</f>
        <v>0</v>
      </c>
      <c r="X211" s="870">
        <f t="shared" si="53"/>
        <v>0</v>
      </c>
      <c r="Y211" s="892">
        <f>+'Plan de Accion 2018'!AY73</f>
        <v>0.5</v>
      </c>
      <c r="Z211" s="892">
        <f t="shared" ref="Z211:Z217" si="63">IF(Y211&gt;75%,75%,Y211)</f>
        <v>0.5</v>
      </c>
      <c r="AA211" s="878">
        <f t="shared" si="58"/>
        <v>0.5</v>
      </c>
      <c r="AB211" s="336"/>
      <c r="AC211" s="322">
        <f>+'Plan de Accion 2018'!BE73</f>
        <v>0</v>
      </c>
      <c r="AD211" s="323">
        <f>+'Plan de Accion 2018'!BR73</f>
        <v>0</v>
      </c>
      <c r="AE211" s="870">
        <f t="shared" si="54"/>
        <v>0</v>
      </c>
      <c r="AF211" s="886">
        <f>+'Plan de Accion 2018'!BI73</f>
        <v>0.5</v>
      </c>
      <c r="AG211" s="878">
        <f t="shared" si="55"/>
        <v>0.5</v>
      </c>
      <c r="AH211" s="406"/>
      <c r="AJ211" s="407"/>
      <c r="AK211" s="408"/>
      <c r="AL211" s="321"/>
      <c r="AM211" s="407"/>
      <c r="AN211" s="408"/>
      <c r="AO211" s="321"/>
      <c r="AP211" s="407"/>
      <c r="AQ211" s="408"/>
      <c r="AR211" s="321"/>
      <c r="AS211" s="407"/>
      <c r="AT211" s="408"/>
      <c r="AU211" s="328"/>
      <c r="AV211" s="406"/>
      <c r="AX211" s="407"/>
      <c r="AY211" s="408"/>
      <c r="AZ211" s="321"/>
      <c r="BA211" s="407"/>
      <c r="BB211" s="408"/>
      <c r="BC211" s="321"/>
      <c r="BD211" s="407"/>
      <c r="BE211" s="408"/>
      <c r="BF211" s="321"/>
      <c r="BG211" s="407"/>
      <c r="BH211" s="408"/>
      <c r="BI211" s="328"/>
      <c r="BJ211" s="406"/>
      <c r="BL211" s="407"/>
      <c r="BM211" s="408"/>
      <c r="BN211" s="321"/>
      <c r="BO211" s="407"/>
      <c r="BP211" s="408"/>
      <c r="BQ211" s="321"/>
      <c r="BR211" s="407"/>
      <c r="BS211" s="408"/>
      <c r="BT211" s="321"/>
      <c r="BU211" s="407"/>
      <c r="BV211" s="408"/>
      <c r="BW211" s="328"/>
      <c r="BX211" s="406"/>
      <c r="BZ211" s="407"/>
      <c r="CA211" s="408"/>
      <c r="CB211" s="321"/>
      <c r="CC211" s="407"/>
      <c r="CD211" s="408"/>
      <c r="CE211" s="321"/>
      <c r="CF211" s="407"/>
      <c r="CG211" s="408"/>
      <c r="CH211" s="321"/>
      <c r="CI211" s="407"/>
      <c r="CJ211" s="408"/>
      <c r="CK211" s="328"/>
      <c r="CL211" s="406"/>
    </row>
    <row r="212" spans="2:90" ht="57.75" thickBot="1" x14ac:dyDescent="0.25">
      <c r="B212" s="1152"/>
      <c r="C212" s="1172"/>
      <c r="D212" s="1158" t="str">
        <f>+'Plan de Accion 2018'!F129</f>
        <v>Conciliaciones Prejudiciales y judiciales</v>
      </c>
      <c r="E212" s="1158" t="str">
        <f>+'Plan de Accion 2018'!B129</f>
        <v>Oficina Asesora Jurídica</v>
      </c>
      <c r="F212" s="333" t="str">
        <f>+'Plan de Accion 2018'!J129</f>
        <v>Fichas técnicas de conciliaciones prejudiciales presentadas a consideración del Comité de Conciliación</v>
      </c>
      <c r="H212" s="776">
        <f>+'Plan de Accion 2018'!AA129</f>
        <v>2.5862068965517241E-2</v>
      </c>
      <c r="I212" s="777">
        <f>+'Plan de Accion 2018'!BL129</f>
        <v>0.10344827586206896</v>
      </c>
      <c r="J212" s="777">
        <f t="shared" si="59"/>
        <v>0.10344827586206896</v>
      </c>
      <c r="K212" s="777">
        <f>+'Plan de Accion 2018'!AE129</f>
        <v>2.5862068965517241E-2</v>
      </c>
      <c r="L212" s="777">
        <f t="shared" si="60"/>
        <v>2.5862068965517241E-2</v>
      </c>
      <c r="M212" s="1391">
        <f t="shared" si="61"/>
        <v>2.5862068965517241E-2</v>
      </c>
      <c r="N212" s="887"/>
      <c r="O212" s="776">
        <f>+'Plan de Accion 2018'!AK129</f>
        <v>0.08</v>
      </c>
      <c r="P212" s="777">
        <f>+'Plan de Accion 2018'!BN129</f>
        <v>0.32</v>
      </c>
      <c r="Q212" s="870">
        <f t="shared" si="50"/>
        <v>0.32</v>
      </c>
      <c r="R212" s="892">
        <f>+'Plan de Accion 2018'!AO129</f>
        <v>0.10586206896551724</v>
      </c>
      <c r="S212" s="892">
        <f t="shared" si="51"/>
        <v>0.10586206896551724</v>
      </c>
      <c r="T212" s="878">
        <f t="shared" si="52"/>
        <v>0.10586206896551724</v>
      </c>
      <c r="U212" s="336"/>
      <c r="V212" s="776">
        <f>+'Plan de Accion 2018'!AU129</f>
        <v>0</v>
      </c>
      <c r="W212" s="777">
        <f>+'Plan de Accion 2018'!BP129</f>
        <v>0</v>
      </c>
      <c r="X212" s="870">
        <f t="shared" si="53"/>
        <v>0</v>
      </c>
      <c r="Y212" s="777">
        <f>+'Plan de Accion 2018'!AY129</f>
        <v>0.10586206896551724</v>
      </c>
      <c r="Z212" s="892">
        <f t="shared" si="63"/>
        <v>0.10586206896551724</v>
      </c>
      <c r="AA212" s="878">
        <f t="shared" si="58"/>
        <v>0.10586206896551724</v>
      </c>
      <c r="AB212" s="336"/>
      <c r="AC212" s="330">
        <f>+'Plan de Accion 2018'!BE129</f>
        <v>0</v>
      </c>
      <c r="AD212" s="331">
        <f>+'Plan de Accion 2018'!BR129</f>
        <v>0</v>
      </c>
      <c r="AE212" s="870">
        <f t="shared" si="54"/>
        <v>0</v>
      </c>
      <c r="AF212" s="777">
        <f>+'Plan de Accion 2018'!BI129</f>
        <v>0.10586206896551724</v>
      </c>
      <c r="AG212" s="878">
        <f t="shared" si="55"/>
        <v>0.10586206896551724</v>
      </c>
      <c r="AH212" s="406"/>
      <c r="AJ212" s="407"/>
      <c r="AK212" s="408"/>
      <c r="AL212" s="321"/>
      <c r="AM212" s="407"/>
      <c r="AN212" s="408"/>
      <c r="AO212" s="321"/>
      <c r="AP212" s="407"/>
      <c r="AQ212" s="408"/>
      <c r="AR212" s="321"/>
      <c r="AS212" s="407"/>
      <c r="AT212" s="408"/>
      <c r="AU212" s="328"/>
      <c r="AV212" s="406"/>
      <c r="AX212" s="407"/>
      <c r="AY212" s="408"/>
      <c r="AZ212" s="321"/>
      <c r="BA212" s="407"/>
      <c r="BB212" s="408"/>
      <c r="BC212" s="321"/>
      <c r="BD212" s="407"/>
      <c r="BE212" s="408"/>
      <c r="BF212" s="321"/>
      <c r="BG212" s="407"/>
      <c r="BH212" s="408"/>
      <c r="BI212" s="328"/>
      <c r="BJ212" s="406"/>
      <c r="BL212" s="407"/>
      <c r="BM212" s="408"/>
      <c r="BN212" s="321"/>
      <c r="BO212" s="407"/>
      <c r="BP212" s="408"/>
      <c r="BQ212" s="321"/>
      <c r="BR212" s="407"/>
      <c r="BS212" s="408"/>
      <c r="BT212" s="321"/>
      <c r="BU212" s="407"/>
      <c r="BV212" s="408"/>
      <c r="BW212" s="328"/>
      <c r="BX212" s="406"/>
      <c r="BZ212" s="407"/>
      <c r="CA212" s="408"/>
      <c r="CB212" s="321"/>
      <c r="CC212" s="407"/>
      <c r="CD212" s="408"/>
      <c r="CE212" s="321"/>
      <c r="CF212" s="407"/>
      <c r="CG212" s="408"/>
      <c r="CH212" s="321"/>
      <c r="CI212" s="407"/>
      <c r="CJ212" s="408"/>
      <c r="CK212" s="328"/>
      <c r="CL212" s="406"/>
    </row>
    <row r="213" spans="2:90" ht="45" customHeight="1" thickBot="1" x14ac:dyDescent="0.25">
      <c r="B213" s="1152"/>
      <c r="C213" s="1172"/>
      <c r="D213" s="1158"/>
      <c r="E213" s="1158"/>
      <c r="F213" s="333" t="str">
        <f>+'Plan de Accion 2018'!J130</f>
        <v>Presentación de fichas técnicas de demandas ordinarias laborales  presentadas al Comité de Conciliación</v>
      </c>
      <c r="H213" s="776">
        <f>+'Plan de Accion 2018'!AA130</f>
        <v>0</v>
      </c>
      <c r="I213" s="777">
        <f>+'Plan de Accion 2018'!BL130</f>
        <v>0</v>
      </c>
      <c r="J213" s="777">
        <f t="shared" si="59"/>
        <v>0</v>
      </c>
      <c r="K213" s="777">
        <f>+'Plan de Accion 2018'!AE130</f>
        <v>0</v>
      </c>
      <c r="L213" s="777">
        <f t="shared" si="60"/>
        <v>0</v>
      </c>
      <c r="M213" s="1391">
        <f t="shared" si="61"/>
        <v>0</v>
      </c>
      <c r="N213" s="887"/>
      <c r="O213" s="776">
        <f>+'Plan de Accion 2018'!AK130</f>
        <v>0</v>
      </c>
      <c r="P213" s="777">
        <f>+'Plan de Accion 2018'!BN130</f>
        <v>0</v>
      </c>
      <c r="Q213" s="870">
        <f t="shared" si="50"/>
        <v>0</v>
      </c>
      <c r="R213" s="892">
        <f>+'Plan de Accion 2018'!AO130</f>
        <v>0</v>
      </c>
      <c r="S213" s="892">
        <f t="shared" si="51"/>
        <v>0</v>
      </c>
      <c r="T213" s="878">
        <f t="shared" si="52"/>
        <v>0</v>
      </c>
      <c r="U213" s="336"/>
      <c r="V213" s="776">
        <f>+'Plan de Accion 2018'!AU130</f>
        <v>0</v>
      </c>
      <c r="W213" s="777">
        <f>+'Plan de Accion 2018'!BP130</f>
        <v>0</v>
      </c>
      <c r="X213" s="870">
        <f t="shared" si="53"/>
        <v>0</v>
      </c>
      <c r="Y213" s="777">
        <f>+'Plan de Accion 2018'!AY130</f>
        <v>0</v>
      </c>
      <c r="Z213" s="892">
        <f t="shared" si="63"/>
        <v>0</v>
      </c>
      <c r="AA213" s="878">
        <f t="shared" si="58"/>
        <v>0</v>
      </c>
      <c r="AB213" s="336"/>
      <c r="AC213" s="330">
        <f>+'Plan de Accion 2018'!BE130</f>
        <v>0</v>
      </c>
      <c r="AD213" s="331">
        <f>+'Plan de Accion 2018'!BR130</f>
        <v>0</v>
      </c>
      <c r="AE213" s="870">
        <f t="shared" si="54"/>
        <v>0</v>
      </c>
      <c r="AF213" s="777">
        <f>+'Plan de Accion 2018'!BI130</f>
        <v>0</v>
      </c>
      <c r="AG213" s="878">
        <f t="shared" si="55"/>
        <v>0</v>
      </c>
      <c r="AH213" s="406"/>
      <c r="AJ213" s="407"/>
      <c r="AK213" s="408"/>
      <c r="AL213" s="321"/>
      <c r="AM213" s="407"/>
      <c r="AN213" s="408"/>
      <c r="AO213" s="321"/>
      <c r="AP213" s="407"/>
      <c r="AQ213" s="408"/>
      <c r="AR213" s="321"/>
      <c r="AS213" s="407"/>
      <c r="AT213" s="408"/>
      <c r="AU213" s="328"/>
      <c r="AV213" s="406"/>
      <c r="AX213" s="407"/>
      <c r="AY213" s="408"/>
      <c r="AZ213" s="321"/>
      <c r="BA213" s="407"/>
      <c r="BB213" s="408"/>
      <c r="BC213" s="321"/>
      <c r="BD213" s="407"/>
      <c r="BE213" s="408"/>
      <c r="BF213" s="321"/>
      <c r="BG213" s="407"/>
      <c r="BH213" s="408"/>
      <c r="BI213" s="328"/>
      <c r="BJ213" s="406"/>
      <c r="BL213" s="407"/>
      <c r="BM213" s="408"/>
      <c r="BN213" s="321"/>
      <c r="BO213" s="407"/>
      <c r="BP213" s="408"/>
      <c r="BQ213" s="321"/>
      <c r="BR213" s="407"/>
      <c r="BS213" s="408"/>
      <c r="BT213" s="321"/>
      <c r="BU213" s="407"/>
      <c r="BV213" s="408"/>
      <c r="BW213" s="328"/>
      <c r="BX213" s="406"/>
      <c r="BZ213" s="407"/>
      <c r="CA213" s="408"/>
      <c r="CB213" s="321"/>
      <c r="CC213" s="407"/>
      <c r="CD213" s="408"/>
      <c r="CE213" s="321"/>
      <c r="CF213" s="407"/>
      <c r="CG213" s="408"/>
      <c r="CH213" s="321"/>
      <c r="CI213" s="407"/>
      <c r="CJ213" s="408"/>
      <c r="CK213" s="328"/>
      <c r="CL213" s="406"/>
    </row>
    <row r="214" spans="2:90" ht="45" customHeight="1" thickBot="1" x14ac:dyDescent="0.25">
      <c r="B214" s="1152"/>
      <c r="C214" s="1172"/>
      <c r="D214" s="423" t="str">
        <f>+'Plan de Accion 2018'!F131</f>
        <v>Comité de conciliación realizado</v>
      </c>
      <c r="E214" s="1158"/>
      <c r="F214" s="333" t="str">
        <f>+'Plan de Accion 2018'!R131</f>
        <v># comités de conciliación llevados a cabo / # comités de conciliación requeridos en el trimestre</v>
      </c>
      <c r="H214" s="780">
        <f>+'Plan de Accion 2018'!AA131</f>
        <v>3</v>
      </c>
      <c r="I214" s="777">
        <f>+'Plan de Accion 2018'!BL131</f>
        <v>0.5</v>
      </c>
      <c r="J214" s="777">
        <f t="shared" si="59"/>
        <v>0.5</v>
      </c>
      <c r="K214" s="777">
        <f>+'Plan de Accion 2018'!AE131</f>
        <v>0.125</v>
      </c>
      <c r="L214" s="777">
        <f t="shared" si="60"/>
        <v>0.125</v>
      </c>
      <c r="M214" s="1391">
        <f t="shared" si="61"/>
        <v>0.125</v>
      </c>
      <c r="N214" s="887"/>
      <c r="O214" s="776">
        <f>+'Plan de Accion 2018'!AK131</f>
        <v>5</v>
      </c>
      <c r="P214" s="777">
        <f>+'Plan de Accion 2018'!BN131</f>
        <v>0.83333333333333337</v>
      </c>
      <c r="Q214" s="870">
        <f t="shared" si="50"/>
        <v>0.83333333333333337</v>
      </c>
      <c r="R214" s="892">
        <f>+'Plan de Accion 2018'!AO131</f>
        <v>0.33333333333333331</v>
      </c>
      <c r="S214" s="892">
        <f t="shared" si="51"/>
        <v>0.33333333333333331</v>
      </c>
      <c r="T214" s="878">
        <f t="shared" si="52"/>
        <v>0.33333333333333331</v>
      </c>
      <c r="U214" s="336"/>
      <c r="V214" s="776">
        <f>+'Plan de Accion 2018'!AU131</f>
        <v>0</v>
      </c>
      <c r="W214" s="777">
        <f>+'Plan de Accion 2018'!BP131</f>
        <v>0</v>
      </c>
      <c r="X214" s="870">
        <f t="shared" si="53"/>
        <v>0</v>
      </c>
      <c r="Y214" s="777">
        <f>+'Plan de Accion 2018'!AY131</f>
        <v>0.33333333333333331</v>
      </c>
      <c r="Z214" s="892">
        <f t="shared" si="63"/>
        <v>0.33333333333333331</v>
      </c>
      <c r="AA214" s="878">
        <f t="shared" si="58"/>
        <v>0.33333333333333331</v>
      </c>
      <c r="AB214" s="336"/>
      <c r="AC214" s="330">
        <f>+'Plan de Accion 2018'!BE131</f>
        <v>0</v>
      </c>
      <c r="AD214" s="331">
        <f>+'Plan de Accion 2018'!BR131</f>
        <v>0</v>
      </c>
      <c r="AE214" s="870">
        <f t="shared" si="54"/>
        <v>0</v>
      </c>
      <c r="AF214" s="777">
        <f>+'Plan de Accion 2018'!BI131</f>
        <v>0.33333333333333331</v>
      </c>
      <c r="AG214" s="878">
        <f t="shared" si="55"/>
        <v>0.33333333333333331</v>
      </c>
      <c r="AH214" s="406"/>
      <c r="AJ214" s="425"/>
      <c r="AK214" s="408"/>
      <c r="AL214" s="321"/>
      <c r="AM214" s="425"/>
      <c r="AN214" s="408"/>
      <c r="AO214" s="321"/>
      <c r="AP214" s="425"/>
      <c r="AQ214" s="408"/>
      <c r="AR214" s="321"/>
      <c r="AS214" s="425"/>
      <c r="AT214" s="408"/>
      <c r="AU214" s="328"/>
      <c r="AV214" s="406"/>
      <c r="AX214" s="425"/>
      <c r="AY214" s="408"/>
      <c r="AZ214" s="321"/>
      <c r="BA214" s="425"/>
      <c r="BB214" s="408"/>
      <c r="BC214" s="321"/>
      <c r="BD214" s="425"/>
      <c r="BE214" s="408"/>
      <c r="BF214" s="321"/>
      <c r="BG214" s="425"/>
      <c r="BH214" s="408"/>
      <c r="BI214" s="328"/>
      <c r="BJ214" s="406"/>
      <c r="BL214" s="425"/>
      <c r="BM214" s="408"/>
      <c r="BN214" s="321"/>
      <c r="BO214" s="425"/>
      <c r="BP214" s="408"/>
      <c r="BQ214" s="321"/>
      <c r="BR214" s="425"/>
      <c r="BS214" s="408"/>
      <c r="BT214" s="321"/>
      <c r="BU214" s="425"/>
      <c r="BV214" s="408"/>
      <c r="BW214" s="328"/>
      <c r="BX214" s="406"/>
      <c r="BZ214" s="425"/>
      <c r="CA214" s="408"/>
      <c r="CB214" s="321"/>
      <c r="CC214" s="425"/>
      <c r="CD214" s="408"/>
      <c r="CE214" s="321"/>
      <c r="CF214" s="425"/>
      <c r="CG214" s="408"/>
      <c r="CH214" s="321"/>
      <c r="CI214" s="425"/>
      <c r="CJ214" s="408"/>
      <c r="CK214" s="328"/>
      <c r="CL214" s="406"/>
    </row>
    <row r="215" spans="2:90" ht="29.25" thickBot="1" x14ac:dyDescent="0.25">
      <c r="B215" s="1152"/>
      <c r="C215" s="1172"/>
      <c r="D215" s="332" t="str">
        <f>+'Plan de Accion 2018'!F135</f>
        <v xml:space="preserve">Emisión de Conceptos Jurídicos </v>
      </c>
      <c r="E215" s="1158"/>
      <c r="F215" s="333" t="str">
        <f>+'Plan de Accion 2018'!R135</f>
        <v># conceptos emitidos / # conceptos requeridos</v>
      </c>
      <c r="H215" s="776">
        <f>+'Plan de Accion 2018'!AA135</f>
        <v>0.203125</v>
      </c>
      <c r="I215" s="777">
        <f>+'Plan de Accion 2018'!BL135</f>
        <v>0.8125</v>
      </c>
      <c r="J215" s="777">
        <f t="shared" si="59"/>
        <v>0.8125</v>
      </c>
      <c r="K215" s="777">
        <f>+'Plan de Accion 2018'!AE135</f>
        <v>0.203125</v>
      </c>
      <c r="L215" s="777">
        <f t="shared" si="60"/>
        <v>0.203125</v>
      </c>
      <c r="M215" s="1391">
        <f t="shared" si="61"/>
        <v>0.203125</v>
      </c>
      <c r="N215" s="887"/>
      <c r="O215" s="776">
        <f>+'Plan de Accion 2018'!AK135</f>
        <v>0.21249999999999999</v>
      </c>
      <c r="P215" s="777">
        <f>+'Plan de Accion 2018'!BN135</f>
        <v>0.85</v>
      </c>
      <c r="Q215" s="870">
        <f t="shared" si="50"/>
        <v>0.85</v>
      </c>
      <c r="R215" s="892">
        <f>+'Plan de Accion 2018'!AO135</f>
        <v>0.41562500000000002</v>
      </c>
      <c r="S215" s="892">
        <f t="shared" si="51"/>
        <v>0.41562500000000002</v>
      </c>
      <c r="T215" s="878">
        <f t="shared" si="52"/>
        <v>0.41562500000000002</v>
      </c>
      <c r="U215" s="336"/>
      <c r="V215" s="776">
        <f>+'Plan de Accion 2018'!AU135</f>
        <v>0</v>
      </c>
      <c r="W215" s="777">
        <f>+'Plan de Accion 2018'!BP135</f>
        <v>0</v>
      </c>
      <c r="X215" s="870">
        <f t="shared" si="53"/>
        <v>0</v>
      </c>
      <c r="Y215" s="777">
        <f>+'Plan de Accion 2018'!AY135</f>
        <v>0.41562500000000002</v>
      </c>
      <c r="Z215" s="892">
        <f t="shared" si="63"/>
        <v>0.41562500000000002</v>
      </c>
      <c r="AA215" s="878">
        <f t="shared" si="58"/>
        <v>0.41562500000000002</v>
      </c>
      <c r="AB215" s="336"/>
      <c r="AC215" s="330">
        <f>+'Plan de Accion 2018'!BE135</f>
        <v>0</v>
      </c>
      <c r="AD215" s="331">
        <f>+'Plan de Accion 2018'!BR135</f>
        <v>0</v>
      </c>
      <c r="AE215" s="870">
        <f t="shared" si="54"/>
        <v>0</v>
      </c>
      <c r="AF215" s="777">
        <f>+'Plan de Accion 2018'!BI135</f>
        <v>0.41562500000000002</v>
      </c>
      <c r="AG215" s="878">
        <f t="shared" si="55"/>
        <v>0.41562500000000002</v>
      </c>
      <c r="AH215" s="406"/>
      <c r="AJ215" s="407"/>
      <c r="AK215" s="408"/>
      <c r="AL215" s="321"/>
      <c r="AM215" s="407"/>
      <c r="AN215" s="408"/>
      <c r="AO215" s="321"/>
      <c r="AP215" s="407"/>
      <c r="AQ215" s="408"/>
      <c r="AR215" s="321"/>
      <c r="AS215" s="407"/>
      <c r="AT215" s="408"/>
      <c r="AU215" s="328"/>
      <c r="AV215" s="406"/>
      <c r="AX215" s="407"/>
      <c r="AY215" s="408"/>
      <c r="AZ215" s="321"/>
      <c r="BA215" s="407"/>
      <c r="BB215" s="408"/>
      <c r="BC215" s="321"/>
      <c r="BD215" s="407"/>
      <c r="BE215" s="408"/>
      <c r="BF215" s="321"/>
      <c r="BG215" s="407"/>
      <c r="BH215" s="408"/>
      <c r="BI215" s="328"/>
      <c r="BJ215" s="406"/>
      <c r="BL215" s="407"/>
      <c r="BM215" s="408"/>
      <c r="BN215" s="321"/>
      <c r="BO215" s="407"/>
      <c r="BP215" s="408"/>
      <c r="BQ215" s="321"/>
      <c r="BR215" s="407"/>
      <c r="BS215" s="408"/>
      <c r="BT215" s="321"/>
      <c r="BU215" s="407"/>
      <c r="BV215" s="408"/>
      <c r="BW215" s="328"/>
      <c r="BX215" s="406"/>
      <c r="BZ215" s="407"/>
      <c r="CA215" s="408"/>
      <c r="CB215" s="321"/>
      <c r="CC215" s="407"/>
      <c r="CD215" s="408"/>
      <c r="CE215" s="321"/>
      <c r="CF215" s="407"/>
      <c r="CG215" s="408"/>
      <c r="CH215" s="321"/>
      <c r="CI215" s="407"/>
      <c r="CJ215" s="408"/>
      <c r="CK215" s="328"/>
      <c r="CL215" s="406"/>
    </row>
    <row r="216" spans="2:90" ht="29.25" customHeight="1" thickBot="1" x14ac:dyDescent="0.3">
      <c r="B216" s="1152"/>
      <c r="C216" s="1172"/>
      <c r="D216" s="409" t="str">
        <f>+'Plan de Accion 2018'!F136</f>
        <v>Depuración de Cartera FOSYGA y/o ADRES</v>
      </c>
      <c r="E216" s="1158"/>
      <c r="F216" s="339" t="str">
        <f>+'Plan de Accion 2018'!R136</f>
        <v># Informes reportados</v>
      </c>
      <c r="G216" s="335"/>
      <c r="H216" s="792">
        <f>+'Plan de Accion 2018'!AA136</f>
        <v>1</v>
      </c>
      <c r="I216" s="777">
        <f>+'Plan de Accion 2018'!BL136</f>
        <v>0.5</v>
      </c>
      <c r="J216" s="777">
        <f t="shared" si="59"/>
        <v>0.5</v>
      </c>
      <c r="K216" s="777">
        <f>+'Plan de Accion 2018'!AE136</f>
        <v>0.5</v>
      </c>
      <c r="L216" s="777">
        <f t="shared" si="60"/>
        <v>0.25</v>
      </c>
      <c r="M216" s="1391">
        <f t="shared" si="61"/>
        <v>0.25</v>
      </c>
      <c r="N216" s="887"/>
      <c r="O216" s="792">
        <f>+'Plan de Accion 2018'!AK136</f>
        <v>0</v>
      </c>
      <c r="P216" s="777" t="str">
        <f>+'Plan de Accion 2018'!BN136</f>
        <v>No Prog ni Ejec</v>
      </c>
      <c r="Q216" s="870" t="s">
        <v>792</v>
      </c>
      <c r="R216" s="892">
        <f>+'Plan de Accion 2018'!AO136</f>
        <v>0.5</v>
      </c>
      <c r="S216" s="892">
        <f t="shared" si="51"/>
        <v>0.5</v>
      </c>
      <c r="T216" s="878">
        <f t="shared" si="52"/>
        <v>0.5</v>
      </c>
      <c r="U216" s="336"/>
      <c r="V216" s="792">
        <f>+'Plan de Accion 2018'!AU136</f>
        <v>0</v>
      </c>
      <c r="W216" s="777" t="str">
        <f>+'Plan de Accion 2018'!BP136</f>
        <v>No Prog ni Ejec</v>
      </c>
      <c r="X216" s="870" t="s">
        <v>792</v>
      </c>
      <c r="Y216" s="777">
        <f>+'Plan de Accion 2018'!AY136</f>
        <v>0.5</v>
      </c>
      <c r="Z216" s="892">
        <f t="shared" si="63"/>
        <v>0.5</v>
      </c>
      <c r="AA216" s="878">
        <f t="shared" si="58"/>
        <v>0.5</v>
      </c>
      <c r="AB216" s="336"/>
      <c r="AC216" s="792">
        <f>+'Plan de Accion 2018'!BE136</f>
        <v>0</v>
      </c>
      <c r="AD216" s="331" t="str">
        <f>+'Plan de Accion 2018'!BR136</f>
        <v>No Prog ni Ejec</v>
      </c>
      <c r="AE216" s="870" t="s">
        <v>792</v>
      </c>
      <c r="AF216" s="777">
        <f>+'Plan de Accion 2018'!BI136</f>
        <v>0.5</v>
      </c>
      <c r="AG216" s="878">
        <f t="shared" si="55"/>
        <v>0.5</v>
      </c>
      <c r="AH216" s="406"/>
      <c r="AJ216" s="407"/>
      <c r="AK216" s="408"/>
      <c r="AL216" s="321"/>
      <c r="AM216" s="407"/>
      <c r="AN216" s="408"/>
      <c r="AO216" s="321"/>
      <c r="AP216" s="407"/>
      <c r="AQ216" s="408"/>
      <c r="AR216" s="321"/>
      <c r="AS216" s="407"/>
      <c r="AT216" s="408"/>
      <c r="AU216" s="328"/>
      <c r="AV216" s="406"/>
      <c r="AX216" s="407"/>
      <c r="AY216" s="408"/>
      <c r="AZ216" s="321"/>
      <c r="BA216" s="407"/>
      <c r="BB216" s="408"/>
      <c r="BC216" s="321"/>
      <c r="BD216" s="407"/>
      <c r="BE216" s="408"/>
      <c r="BF216" s="321"/>
      <c r="BG216" s="407"/>
      <c r="BH216" s="408"/>
      <c r="BI216" s="328"/>
      <c r="BJ216" s="406"/>
      <c r="BL216" s="407"/>
      <c r="BM216" s="408"/>
      <c r="BN216" s="321"/>
      <c r="BO216" s="407"/>
      <c r="BP216" s="408"/>
      <c r="BQ216" s="321"/>
      <c r="BR216" s="407"/>
      <c r="BS216" s="408"/>
      <c r="BT216" s="321"/>
      <c r="BU216" s="407"/>
      <c r="BV216" s="408"/>
      <c r="BW216" s="328"/>
      <c r="BX216" s="406"/>
      <c r="BZ216" s="407"/>
      <c r="CA216" s="408"/>
      <c r="CB216" s="321"/>
      <c r="CC216" s="407"/>
      <c r="CD216" s="408"/>
      <c r="CE216" s="321"/>
      <c r="CF216" s="407"/>
      <c r="CG216" s="408"/>
      <c r="CH216" s="321"/>
      <c r="CI216" s="407"/>
      <c r="CJ216" s="408"/>
      <c r="CK216" s="328"/>
      <c r="CL216" s="406"/>
    </row>
    <row r="217" spans="2:90" ht="86.25" thickBot="1" x14ac:dyDescent="0.25">
      <c r="B217" s="1152"/>
      <c r="C217" s="1173"/>
      <c r="D217" s="337" t="str">
        <f>+'Plan de Accion 2018'!F154</f>
        <v>Procesos penales</v>
      </c>
      <c r="E217" s="1099"/>
      <c r="F217" s="339" t="str">
        <f>+'Plan de Accion 2018'!R154</f>
        <v># procesos penales en los que el apoderado adelantó actuación judicial / # procesos penales en los que es parte, tercero interviniente o víctima la ADRES</v>
      </c>
      <c r="H217" s="340">
        <f>+'Plan de Accion 2018'!AA154</f>
        <v>0.25</v>
      </c>
      <c r="I217" s="928">
        <f>+'Plan de Accion 2018'!BL154</f>
        <v>1</v>
      </c>
      <c r="J217" s="928">
        <f t="shared" si="59"/>
        <v>1</v>
      </c>
      <c r="K217" s="928">
        <f>+'Plan de Accion 2018'!AE154</f>
        <v>0.25</v>
      </c>
      <c r="L217" s="928">
        <f t="shared" si="60"/>
        <v>0.25</v>
      </c>
      <c r="M217" s="930">
        <f t="shared" si="61"/>
        <v>0.25</v>
      </c>
      <c r="N217" s="887"/>
      <c r="O217" s="340">
        <f>+'Plan de Accion 2018'!AK154</f>
        <v>8.0188679245283015E-2</v>
      </c>
      <c r="P217" s="890">
        <f>+'Plan de Accion 2018'!BN154</f>
        <v>0.32075471698113206</v>
      </c>
      <c r="Q217" s="872">
        <f t="shared" si="50"/>
        <v>0.32075471698113206</v>
      </c>
      <c r="R217" s="892">
        <f>+'Plan de Accion 2018'!AO154</f>
        <v>0.330188679245283</v>
      </c>
      <c r="S217" s="891">
        <f t="shared" si="51"/>
        <v>0.330188679245283</v>
      </c>
      <c r="T217" s="878">
        <f t="shared" si="52"/>
        <v>0.330188679245283</v>
      </c>
      <c r="U217" s="336"/>
      <c r="V217" s="340">
        <f>+'Plan de Accion 2018'!AU154</f>
        <v>0</v>
      </c>
      <c r="W217" s="890">
        <f>+'Plan de Accion 2018'!BP154</f>
        <v>0</v>
      </c>
      <c r="X217" s="870">
        <f t="shared" si="53"/>
        <v>0</v>
      </c>
      <c r="Y217" s="890">
        <f>+'Plan de Accion 2018'!AY154</f>
        <v>0.330188679245283</v>
      </c>
      <c r="Z217" s="892">
        <f t="shared" si="63"/>
        <v>0.330188679245283</v>
      </c>
      <c r="AA217" s="878">
        <f t="shared" si="58"/>
        <v>0.330188679245283</v>
      </c>
      <c r="AB217" s="336"/>
      <c r="AC217" s="340">
        <f>+'Plan de Accion 2018'!BE154</f>
        <v>0</v>
      </c>
      <c r="AD217" s="341">
        <f>+'Plan de Accion 2018'!BR154</f>
        <v>0</v>
      </c>
      <c r="AE217" s="870">
        <f t="shared" si="54"/>
        <v>0</v>
      </c>
      <c r="AF217" s="885">
        <f>+'Plan de Accion 2018'!BI154</f>
        <v>0.330188679245283</v>
      </c>
      <c r="AG217" s="878">
        <f t="shared" si="55"/>
        <v>0.330188679245283</v>
      </c>
      <c r="AH217" s="406"/>
      <c r="AJ217" s="407"/>
      <c r="AK217" s="408"/>
      <c r="AL217" s="321"/>
      <c r="AM217" s="407"/>
      <c r="AN217" s="408"/>
      <c r="AO217" s="321"/>
      <c r="AP217" s="407"/>
      <c r="AQ217" s="408"/>
      <c r="AR217" s="321"/>
      <c r="AS217" s="407"/>
      <c r="AT217" s="408"/>
      <c r="AU217" s="328"/>
      <c r="AV217" s="406"/>
      <c r="AX217" s="407"/>
      <c r="AY217" s="408"/>
      <c r="AZ217" s="321"/>
      <c r="BA217" s="407"/>
      <c r="BB217" s="408"/>
      <c r="BC217" s="321"/>
      <c r="BD217" s="407"/>
      <c r="BE217" s="408"/>
      <c r="BF217" s="321"/>
      <c r="BG217" s="407"/>
      <c r="BH217" s="408"/>
      <c r="BI217" s="328"/>
      <c r="BJ217" s="406"/>
      <c r="BL217" s="407"/>
      <c r="BM217" s="408"/>
      <c r="BN217" s="321"/>
      <c r="BO217" s="407"/>
      <c r="BP217" s="408"/>
      <c r="BQ217" s="321"/>
      <c r="BR217" s="407"/>
      <c r="BS217" s="408"/>
      <c r="BT217" s="321"/>
      <c r="BU217" s="407"/>
      <c r="BV217" s="408"/>
      <c r="BW217" s="328"/>
      <c r="BX217" s="406"/>
      <c r="BZ217" s="407"/>
      <c r="CA217" s="408"/>
      <c r="CB217" s="321"/>
      <c r="CC217" s="407"/>
      <c r="CD217" s="408"/>
      <c r="CE217" s="321"/>
      <c r="CF217" s="407"/>
      <c r="CG217" s="408"/>
      <c r="CH217" s="321"/>
      <c r="CI217" s="407"/>
      <c r="CJ217" s="408"/>
      <c r="CK217" s="328"/>
      <c r="CL217" s="406"/>
    </row>
    <row r="218" spans="2:90" ht="15.75" thickBot="1" x14ac:dyDescent="0.25">
      <c r="B218" s="1153"/>
      <c r="C218" s="1154" t="s">
        <v>811</v>
      </c>
      <c r="D218" s="1155"/>
      <c r="E218" s="1155"/>
      <c r="F218" s="1156"/>
      <c r="H218" s="358" t="s">
        <v>792</v>
      </c>
      <c r="I218" s="344">
        <f>SUM(I211:I217)/COUNT(I211:I217)</f>
        <v>0.5594211822660099</v>
      </c>
      <c r="J218" s="344">
        <f t="shared" si="59"/>
        <v>0.5594211822660099</v>
      </c>
      <c r="K218" s="344">
        <f>SUM(K211:K217)/COUNT(K211:K217)</f>
        <v>0.19342672413793105</v>
      </c>
      <c r="L218" s="344">
        <f t="shared" ref="L218:M218" si="64">SUM(L211:L217)/COUNT(L211:L217)</f>
        <v>0.15771243842364532</v>
      </c>
      <c r="M218" s="346">
        <f t="shared" si="64"/>
        <v>0.15771243842364532</v>
      </c>
      <c r="N218" s="1406"/>
      <c r="O218" s="358" t="s">
        <v>792</v>
      </c>
      <c r="P218" s="876">
        <f>SUM(P211:P217)/COUNT(P211:P217)</f>
        <v>0.55401467505241098</v>
      </c>
      <c r="Q218" s="876">
        <f>SUM(Q211:Q217)/COUNT(Q211:Q217)</f>
        <v>0.55401467505241098</v>
      </c>
      <c r="R218" s="880">
        <f>SUM(R211:R217)/COUNT(R211:R217)</f>
        <v>0.31214415450630473</v>
      </c>
      <c r="S218" s="918">
        <f>SUM(S211:S217)/COUNT(S211:S217)</f>
        <v>0.31214415450630473</v>
      </c>
      <c r="T218" s="888">
        <f>SUM(T211:T217)/COUNT(T211:T217)</f>
        <v>0.31214415450630473</v>
      </c>
      <c r="U218" s="369"/>
      <c r="V218" s="358" t="s">
        <v>792</v>
      </c>
      <c r="W218" s="344">
        <f>SUM(W211:W217)/COUNT(W211:W217)</f>
        <v>0</v>
      </c>
      <c r="X218" s="344">
        <f>SUM(X211:X217)/COUNT(X211:X217)</f>
        <v>0</v>
      </c>
      <c r="Y218" s="876">
        <f>SUM(Y211:Y217)/COUNT(Y211:Y217)</f>
        <v>0.31214415450630473</v>
      </c>
      <c r="Z218" s="344">
        <f>SUM(Z211:Z217)/COUNT(Z211:Z217)</f>
        <v>0.31214415450630473</v>
      </c>
      <c r="AA218" s="346">
        <f>SUM(AA211:AA217)/COUNT(AA211:AA217)</f>
        <v>0.31214415450630473</v>
      </c>
      <c r="AB218" s="369"/>
      <c r="AC218" s="358" t="s">
        <v>792</v>
      </c>
      <c r="AD218" s="344">
        <f>SUM(AD211:AD217)/COUNT(AD211:AD217)</f>
        <v>0</v>
      </c>
      <c r="AE218" s="344">
        <f>SUM(AE211:AE217)/COUNT(AE211:AE217)</f>
        <v>0</v>
      </c>
      <c r="AF218" s="876">
        <f>SUM(AF211:AF217)/COUNT(AF211:AF217)</f>
        <v>0.31214415450630473</v>
      </c>
      <c r="AG218" s="346">
        <f>SUM(AG211:AG217)/COUNT(AG211:AG217)</f>
        <v>0.31214415450630473</v>
      </c>
      <c r="AH218" s="406"/>
      <c r="AJ218" s="407"/>
      <c r="AK218" s="408"/>
      <c r="AL218" s="321"/>
      <c r="AM218" s="407"/>
      <c r="AN218" s="408"/>
      <c r="AO218" s="321"/>
      <c r="AP218" s="407"/>
      <c r="AQ218" s="408"/>
      <c r="AR218" s="321"/>
      <c r="AS218" s="407"/>
      <c r="AT218" s="408"/>
      <c r="AU218" s="328"/>
      <c r="AV218" s="406"/>
      <c r="AX218" s="407"/>
      <c r="AY218" s="408"/>
      <c r="AZ218" s="321"/>
      <c r="BA218" s="407"/>
      <c r="BB218" s="408"/>
      <c r="BC218" s="321"/>
      <c r="BD218" s="407"/>
      <c r="BE218" s="408"/>
      <c r="BF218" s="321"/>
      <c r="BG218" s="407"/>
      <c r="BH218" s="408"/>
      <c r="BI218" s="328"/>
      <c r="BJ218" s="406"/>
      <c r="BL218" s="407"/>
      <c r="BM218" s="408"/>
      <c r="BN218" s="321"/>
      <c r="BO218" s="407"/>
      <c r="BP218" s="408"/>
      <c r="BQ218" s="321"/>
      <c r="BR218" s="407"/>
      <c r="BS218" s="408"/>
      <c r="BT218" s="321"/>
      <c r="BU218" s="407"/>
      <c r="BV218" s="408"/>
      <c r="BW218" s="328"/>
      <c r="BX218" s="406"/>
      <c r="BZ218" s="407"/>
      <c r="CA218" s="408"/>
      <c r="CB218" s="321"/>
      <c r="CC218" s="407"/>
      <c r="CD218" s="408"/>
      <c r="CE218" s="321"/>
      <c r="CF218" s="407"/>
      <c r="CG218" s="408"/>
      <c r="CH218" s="321"/>
      <c r="CI218" s="407"/>
      <c r="CJ218" s="408"/>
      <c r="CK218" s="328"/>
      <c r="CL218" s="406"/>
    </row>
    <row r="219" spans="2:90" ht="20.25" thickBot="1" x14ac:dyDescent="0.3">
      <c r="B219" s="1148" t="s">
        <v>812</v>
      </c>
      <c r="C219" s="1149"/>
      <c r="D219" s="1149"/>
      <c r="E219" s="1149"/>
      <c r="F219" s="1150"/>
      <c r="H219" s="381" t="s">
        <v>792</v>
      </c>
      <c r="I219" s="382">
        <f>+(I203+I206+I210+I218)/4</f>
        <v>0.84195980135018067</v>
      </c>
      <c r="J219" s="344">
        <f t="shared" si="59"/>
        <v>0.84195980135018067</v>
      </c>
      <c r="K219" s="382">
        <f>+(K203+K206+K210+K218)/4</f>
        <v>0.26494378269124308</v>
      </c>
      <c r="L219" s="382">
        <f t="shared" ref="L219:M219" si="65">+(L203+L206+L210+L218)/4</f>
        <v>0.14124760213568749</v>
      </c>
      <c r="M219" s="383">
        <f t="shared" si="65"/>
        <v>0.16212189626819998</v>
      </c>
      <c r="N219" s="1409"/>
      <c r="O219" s="379" t="s">
        <v>792</v>
      </c>
      <c r="P219" s="874">
        <f>(P203+P206+P210+P218)/4</f>
        <v>1.2338443351233721</v>
      </c>
      <c r="Q219" s="874">
        <f>SUM(Q179:Q202,Q204:Q205,Q207:Q209,Q211:Q217)/COUNT(Q179:Q202,Q204:Q205,Q207:Q209,Q211:Q217)</f>
        <v>0.70554897486308632</v>
      </c>
      <c r="R219" s="894">
        <f>(R203+R206+R210+R218)/4</f>
        <v>0.71216872513251395</v>
      </c>
      <c r="S219" s="382">
        <f>SUM(S179:S202,S204:S205,S207:S209,S211:S217)/COUNT(S179:S202,S204:S205,S207:S209,S211:S217)</f>
        <v>0.36093619803692933</v>
      </c>
      <c r="T219" s="383">
        <f>SUM(T179:T202,T204:T205,T207:T209,T211:T217)/COUNT(T179:T202,T204:T205,T207:T209,T211:T217)</f>
        <v>0.44805872859756746</v>
      </c>
      <c r="U219" s="380"/>
      <c r="V219" s="410" t="s">
        <v>792</v>
      </c>
      <c r="W219" s="874">
        <f>SUM(W179:W202,W204:W205,W207:W209,W211:W217)/COUNT(W179:W202,W204:W205,W207:W209,W211:W217)</f>
        <v>0</v>
      </c>
      <c r="X219" s="874">
        <f>SUM(X179:X202,X204:X205,X207:X209,X211:X217)/COUNT(X179:X202,X204:X205,X207:X209,X211:X217)</f>
        <v>0</v>
      </c>
      <c r="Y219" s="876">
        <f>SUM(Y179:Y202,Y204:Y205,Y207:Y209,Y211:Y217)/COUNT(Y179:Y202,Y204:Y205,Y207:Y209,Y211:Y217)</f>
        <v>0.45810307756013063</v>
      </c>
      <c r="Z219" s="344">
        <f>SUM(Z179:Z202,Z204:Z205,Z207:Z209,Z211:Z217)/COUNT(Z179:Z202,Z204:Z205,Z207:Z209,Z211:Z217)</f>
        <v>0.37874484001223796</v>
      </c>
      <c r="AA219" s="346">
        <f>SUM(AA179:AA202,AA204:AA205,AA207:AA209,AA211:AA217)/COUNT(AA179:AA202,AA204:AA205,AA207:AA209,AA211:AA217)</f>
        <v>0.47016600829105398</v>
      </c>
      <c r="AB219" s="380"/>
      <c r="AC219" s="381" t="s">
        <v>792</v>
      </c>
      <c r="AD219" s="874">
        <f>SUM(AD179:AD202,AD204:AD205,AD207:AD209,AD211:AD217)/COUNT(AD179:AD202,AD204:AD205,AD207:AD209,AD211:AD217)</f>
        <v>0</v>
      </c>
      <c r="AE219" s="874">
        <f>SUM(AE179:AE202,AE204:AE205,AE207:AE209,AE211:AE217)/COUNT(AE179:AE202,AE204:AE205,AE207:AE209,AE211:AE217)</f>
        <v>0</v>
      </c>
      <c r="AF219" s="873">
        <f>SUM(AF179:AF202,AF204:AF205,AF207:AF209,AF211:AF217)/COUNT(AF179:AF202,AF204:AF205,AF207:AF209,AF211:AF217)</f>
        <v>0.45810307756013063</v>
      </c>
      <c r="AG219" s="383">
        <f>SUM(AG179:AG202,AG204:AG205,AG207:AG209,AG211:AG217)/COUNT(AG179:AG202,AG204:AG205,AG207:AG209,AG211:AG217)</f>
        <v>0.38856243301948612</v>
      </c>
      <c r="AJ219" s="400"/>
      <c r="AK219" s="411" t="e">
        <f>SUM(AK179:AK192)/COUNT(AK179:AK192)</f>
        <v>#REF!</v>
      </c>
      <c r="AL219" s="402"/>
      <c r="AM219" s="400"/>
      <c r="AN219" s="401" t="e">
        <f>SUM(AN179:AN192)/COUNT(AN179:AN192)</f>
        <v>#REF!</v>
      </c>
      <c r="AO219" s="402"/>
      <c r="AP219" s="400"/>
      <c r="AQ219" s="401" t="e">
        <f>SUM(AQ179:AQ192)/COUNT(AQ179:AQ192)</f>
        <v>#REF!</v>
      </c>
      <c r="AR219" s="402"/>
      <c r="AS219" s="400"/>
      <c r="AT219" s="401" t="e">
        <f>SUM(AT179:AT192)/COUNT(AT179:AT192)</f>
        <v>#REF!</v>
      </c>
      <c r="AX219" s="400"/>
      <c r="AY219" s="411" t="e">
        <f>SUM(AY179:AY192)/COUNT(AY179:AY192)</f>
        <v>#REF!</v>
      </c>
      <c r="AZ219" s="402"/>
      <c r="BA219" s="400"/>
      <c r="BB219" s="401" t="e">
        <f>SUM(BB179:BB192)/COUNT(BB179:BB192)</f>
        <v>#REF!</v>
      </c>
      <c r="BC219" s="402"/>
      <c r="BD219" s="400"/>
      <c r="BE219" s="401" t="e">
        <f>SUM(BE179:BE192)/COUNT(BE179:BE192)</f>
        <v>#REF!</v>
      </c>
      <c r="BF219" s="402"/>
      <c r="BG219" s="400"/>
      <c r="BH219" s="401" t="e">
        <f>SUM(BH179:BH192)/COUNT(BH179:BH192)</f>
        <v>#REF!</v>
      </c>
      <c r="BL219" s="400"/>
      <c r="BM219" s="411" t="e">
        <f>SUM(BM179:BM192)/COUNT(BM179:BM192)</f>
        <v>#REF!</v>
      </c>
      <c r="BN219" s="402"/>
      <c r="BO219" s="400"/>
      <c r="BP219" s="401" t="e">
        <f>SUM(BP179:BP192)/COUNT(BP179:BP192)</f>
        <v>#REF!</v>
      </c>
      <c r="BQ219" s="402"/>
      <c r="BR219" s="400"/>
      <c r="BS219" s="401" t="e">
        <f>SUM(BS179:BS192)/COUNT(BS179:BS192)</f>
        <v>#REF!</v>
      </c>
      <c r="BT219" s="402"/>
      <c r="BU219" s="400"/>
      <c r="BV219" s="401" t="e">
        <f>SUM(BV179:BV192)/COUNT(BV179:BV192)</f>
        <v>#REF!</v>
      </c>
      <c r="BZ219" s="400"/>
      <c r="CA219" s="411" t="e">
        <f>SUM(CA179:CA192)/COUNT(CA179:CA192)</f>
        <v>#REF!</v>
      </c>
      <c r="CB219" s="402"/>
      <c r="CC219" s="400"/>
      <c r="CD219" s="401" t="e">
        <f>SUM(CD179:CD192)/COUNT(CD179:CD192)</f>
        <v>#REF!</v>
      </c>
      <c r="CE219" s="402"/>
      <c r="CF219" s="400"/>
      <c r="CG219" s="401" t="e">
        <f>SUM(CG179:CG192)/COUNT(CG179:CG192)</f>
        <v>#REF!</v>
      </c>
      <c r="CH219" s="402"/>
      <c r="CI219" s="400"/>
      <c r="CJ219" s="401" t="e">
        <f>SUM(CJ179:CJ192)/COUNT(CJ179:CJ192)</f>
        <v>#REF!</v>
      </c>
    </row>
    <row r="220" spans="2:90" ht="22.5" customHeight="1" x14ac:dyDescent="0.2">
      <c r="B220" s="1151" t="s">
        <v>794</v>
      </c>
      <c r="C220" s="1147" t="s">
        <v>256</v>
      </c>
      <c r="D220" s="360" t="str">
        <f>+'Plan de Accion 2018'!F101</f>
        <v>Plan de capacitación</v>
      </c>
      <c r="E220" s="1175" t="str">
        <f>+'Plan de Accion 2018'!B101</f>
        <v>Dirección Administrativa y Financiera</v>
      </c>
      <c r="F220" s="399" t="str">
        <f>+'Plan de Accion 2018'!R101</f>
        <v># Capacitaciones Ejecutadas</v>
      </c>
      <c r="H220" s="782">
        <f>+'Plan de Accion 2018'!AA101</f>
        <v>4</v>
      </c>
      <c r="I220" s="929">
        <f>+'Plan de Accion 2018'!BL101</f>
        <v>1.3333333333333333</v>
      </c>
      <c r="J220" s="929">
        <f t="shared" si="59"/>
        <v>1</v>
      </c>
      <c r="K220" s="929">
        <f>+'Plan de Accion 2018'!AE101</f>
        <v>0.44444444444444442</v>
      </c>
      <c r="L220" s="929">
        <f t="shared" si="60"/>
        <v>0.25</v>
      </c>
      <c r="M220" s="931">
        <f t="shared" si="61"/>
        <v>0.25</v>
      </c>
      <c r="N220" s="887">
        <v>1</v>
      </c>
      <c r="O220" s="782">
        <f>+'Plan de Accion 2018'!AK101</f>
        <v>8</v>
      </c>
      <c r="P220" s="892">
        <f>+'Plan de Accion 2018'!BN101</f>
        <v>4</v>
      </c>
      <c r="Q220" s="870">
        <f t="shared" si="50"/>
        <v>1</v>
      </c>
      <c r="R220" s="892">
        <f>+'Plan de Accion 2018'!AO101</f>
        <v>1.3333333333333333</v>
      </c>
      <c r="S220" s="892">
        <f t="shared" si="51"/>
        <v>0.5</v>
      </c>
      <c r="T220" s="878">
        <f t="shared" si="52"/>
        <v>0.5</v>
      </c>
      <c r="U220" s="887">
        <v>1</v>
      </c>
      <c r="V220" s="780">
        <f>+'Plan de Accion 2018'!AU101</f>
        <v>0</v>
      </c>
      <c r="W220" s="777">
        <f>+'Plan de Accion 2018'!BP101</f>
        <v>0</v>
      </c>
      <c r="X220" s="870">
        <f t="shared" si="53"/>
        <v>0</v>
      </c>
      <c r="Y220" s="777">
        <f>+'Plan de Accion 2018'!AY101</f>
        <v>1.3333333333333333</v>
      </c>
      <c r="Z220" s="892">
        <f t="shared" ref="Z220:Z222" si="66">IF(Y220&gt;75%,75%,Y220)</f>
        <v>0.75</v>
      </c>
      <c r="AA220" s="878">
        <f t="shared" si="58"/>
        <v>0.75</v>
      </c>
      <c r="AB220" s="336"/>
      <c r="AC220" s="782">
        <f>+'Plan de Accion 2018'!BE101</f>
        <v>0</v>
      </c>
      <c r="AD220" s="323">
        <f>+'Plan de Accion 2018'!BR101</f>
        <v>0</v>
      </c>
      <c r="AE220" s="870">
        <f t="shared" si="54"/>
        <v>0</v>
      </c>
      <c r="AF220" s="886">
        <f>+'Plan de Accion 2018'!BI101</f>
        <v>1.3333333333333333</v>
      </c>
      <c r="AG220" s="878">
        <f t="shared" si="55"/>
        <v>1</v>
      </c>
      <c r="AH220" s="1118"/>
      <c r="AJ220" s="1109"/>
      <c r="AK220" s="1106" t="e">
        <f>+AJ220/#REF!</f>
        <v>#REF!</v>
      </c>
      <c r="AL220" s="321"/>
      <c r="AM220" s="1112"/>
      <c r="AN220" s="1106" t="e">
        <f>+AM220/#REF!</f>
        <v>#REF!</v>
      </c>
      <c r="AO220" s="321"/>
      <c r="AP220" s="1106"/>
      <c r="AQ220" s="1106" t="e">
        <f>+AP220/#REF!</f>
        <v>#REF!</v>
      </c>
      <c r="AR220" s="321"/>
      <c r="AS220" s="1106"/>
      <c r="AT220" s="1106" t="e">
        <f>+AS220/#REF!</f>
        <v>#REF!</v>
      </c>
      <c r="AU220" s="328"/>
      <c r="AV220" s="1115"/>
      <c r="AX220" s="1109"/>
      <c r="AY220" s="1106" t="e">
        <f>+AX220/#REF!</f>
        <v>#REF!</v>
      </c>
      <c r="AZ220" s="321"/>
      <c r="BA220" s="1112"/>
      <c r="BB220" s="1106" t="e">
        <f>+BA220/#REF!</f>
        <v>#REF!</v>
      </c>
      <c r="BC220" s="321"/>
      <c r="BD220" s="1106"/>
      <c r="BE220" s="1106" t="e">
        <f>+BD220/#REF!</f>
        <v>#REF!</v>
      </c>
      <c r="BF220" s="321"/>
      <c r="BG220" s="1106"/>
      <c r="BH220" s="1106" t="e">
        <f>+BG220/#REF!</f>
        <v>#REF!</v>
      </c>
      <c r="BI220" s="328"/>
      <c r="BJ220" s="1115"/>
      <c r="BL220" s="1109"/>
      <c r="BM220" s="1106" t="e">
        <f>+BL220/#REF!</f>
        <v>#REF!</v>
      </c>
      <c r="BN220" s="321"/>
      <c r="BO220" s="1112"/>
      <c r="BP220" s="1106" t="e">
        <f>+BO220/#REF!</f>
        <v>#REF!</v>
      </c>
      <c r="BQ220" s="321"/>
      <c r="BR220" s="1106"/>
      <c r="BS220" s="1106" t="e">
        <f>+BR220/#REF!</f>
        <v>#REF!</v>
      </c>
      <c r="BT220" s="321"/>
      <c r="BU220" s="1106"/>
      <c r="BV220" s="1106" t="e">
        <f>+BU220/#REF!</f>
        <v>#REF!</v>
      </c>
      <c r="BW220" s="328"/>
      <c r="BX220" s="1115"/>
      <c r="BZ220" s="1109"/>
      <c r="CA220" s="1106" t="e">
        <f>+BZ220/#REF!</f>
        <v>#REF!</v>
      </c>
      <c r="CB220" s="321"/>
      <c r="CC220" s="1112"/>
      <c r="CD220" s="1106" t="e">
        <f>+CC220/#REF!</f>
        <v>#REF!</v>
      </c>
      <c r="CE220" s="321"/>
      <c r="CF220" s="1106"/>
      <c r="CG220" s="1106" t="e">
        <f>+CF220/#REF!</f>
        <v>#REF!</v>
      </c>
      <c r="CH220" s="321"/>
      <c r="CI220" s="1106"/>
      <c r="CJ220" s="1106" t="e">
        <f>+CI220/#REF!</f>
        <v>#REF!</v>
      </c>
      <c r="CK220" s="328"/>
      <c r="CL220" s="1115"/>
    </row>
    <row r="221" spans="2:90" ht="57" x14ac:dyDescent="0.2">
      <c r="B221" s="1152"/>
      <c r="C221" s="1140"/>
      <c r="D221" s="332" t="str">
        <f>+'Plan de Accion 2018'!F102</f>
        <v>Plan de Bienestar</v>
      </c>
      <c r="E221" s="1146"/>
      <c r="F221" s="333" t="str">
        <f>+'Plan de Accion 2018'!R102</f>
        <v># Encuestas Efectivas al Cumplimiento del Objetivo / # Encuestas de Satisfacciones Realizadas</v>
      </c>
      <c r="H221" s="776">
        <f>+'Plan de Accion 2018'!AA102</f>
        <v>0.24</v>
      </c>
      <c r="I221" s="777">
        <f>+'Plan de Accion 2018'!BL102</f>
        <v>0.96</v>
      </c>
      <c r="J221" s="777">
        <f t="shared" si="59"/>
        <v>0.96</v>
      </c>
      <c r="K221" s="777">
        <f>+'Plan de Accion 2018'!AE102</f>
        <v>0.24</v>
      </c>
      <c r="L221" s="777">
        <f t="shared" si="60"/>
        <v>0.24</v>
      </c>
      <c r="M221" s="1391">
        <f t="shared" si="61"/>
        <v>0.24</v>
      </c>
      <c r="N221" s="887"/>
      <c r="O221" s="776">
        <f>+'Plan de Accion 2018'!AK102</f>
        <v>0.17708333333333334</v>
      </c>
      <c r="P221" s="777">
        <f>+'Plan de Accion 2018'!BN102</f>
        <v>0.70833333333333337</v>
      </c>
      <c r="Q221" s="870">
        <f t="shared" si="50"/>
        <v>0.70833333333333337</v>
      </c>
      <c r="R221" s="892">
        <f>+'Plan de Accion 2018'!AO102</f>
        <v>0.41708333333333336</v>
      </c>
      <c r="S221" s="892">
        <f t="shared" si="51"/>
        <v>0.41708333333333336</v>
      </c>
      <c r="T221" s="878">
        <f t="shared" si="52"/>
        <v>0.41708333333333336</v>
      </c>
      <c r="U221" s="336"/>
      <c r="V221" s="776">
        <f>+'Plan de Accion 2018'!AU102</f>
        <v>0</v>
      </c>
      <c r="W221" s="777">
        <f>+'Plan de Accion 2018'!BP102</f>
        <v>0</v>
      </c>
      <c r="X221" s="870">
        <f t="shared" si="53"/>
        <v>0</v>
      </c>
      <c r="Y221" s="777">
        <f>+'Plan de Accion 2018'!AY102</f>
        <v>0.41708333333333336</v>
      </c>
      <c r="Z221" s="892">
        <f t="shared" si="66"/>
        <v>0.41708333333333336</v>
      </c>
      <c r="AA221" s="878">
        <f t="shared" si="58"/>
        <v>0.41708333333333336</v>
      </c>
      <c r="AB221" s="336"/>
      <c r="AC221" s="330">
        <f>+'Plan de Accion 2018'!BE102</f>
        <v>0</v>
      </c>
      <c r="AD221" s="331">
        <f>+'Plan de Accion 2018'!BR102</f>
        <v>0</v>
      </c>
      <c r="AE221" s="870">
        <f t="shared" si="54"/>
        <v>0</v>
      </c>
      <c r="AF221" s="777">
        <f>+'Plan de Accion 2018'!BI102</f>
        <v>0.41708333333333336</v>
      </c>
      <c r="AG221" s="878">
        <f t="shared" si="55"/>
        <v>0.41708333333333336</v>
      </c>
      <c r="AH221" s="1119"/>
      <c r="AJ221" s="1110"/>
      <c r="AK221" s="1107"/>
      <c r="AL221" s="321"/>
      <c r="AM221" s="1113"/>
      <c r="AN221" s="1107"/>
      <c r="AO221" s="321"/>
      <c r="AP221" s="1107"/>
      <c r="AQ221" s="1107"/>
      <c r="AR221" s="321"/>
      <c r="AS221" s="1107"/>
      <c r="AT221" s="1107"/>
      <c r="AU221" s="328"/>
      <c r="AV221" s="1116"/>
      <c r="AX221" s="1110"/>
      <c r="AY221" s="1107"/>
      <c r="AZ221" s="321"/>
      <c r="BA221" s="1113"/>
      <c r="BB221" s="1107"/>
      <c r="BC221" s="321"/>
      <c r="BD221" s="1107"/>
      <c r="BE221" s="1107"/>
      <c r="BF221" s="321"/>
      <c r="BG221" s="1107"/>
      <c r="BH221" s="1107"/>
      <c r="BI221" s="328"/>
      <c r="BJ221" s="1116"/>
      <c r="BL221" s="1110"/>
      <c r="BM221" s="1107"/>
      <c r="BN221" s="321"/>
      <c r="BO221" s="1113"/>
      <c r="BP221" s="1107"/>
      <c r="BQ221" s="321"/>
      <c r="BR221" s="1107"/>
      <c r="BS221" s="1107"/>
      <c r="BT221" s="321"/>
      <c r="BU221" s="1107"/>
      <c r="BV221" s="1107"/>
      <c r="BW221" s="328"/>
      <c r="BX221" s="1116"/>
      <c r="BZ221" s="1110"/>
      <c r="CA221" s="1107"/>
      <c r="CB221" s="321"/>
      <c r="CC221" s="1113"/>
      <c r="CD221" s="1107"/>
      <c r="CE221" s="321"/>
      <c r="CF221" s="1107"/>
      <c r="CG221" s="1107"/>
      <c r="CH221" s="321"/>
      <c r="CI221" s="1107"/>
      <c r="CJ221" s="1107"/>
      <c r="CK221" s="328"/>
      <c r="CL221" s="1116"/>
    </row>
    <row r="222" spans="2:90" ht="43.5" thickBot="1" x14ac:dyDescent="0.25">
      <c r="B222" s="1152"/>
      <c r="C222" s="1141"/>
      <c r="D222" s="337" t="str">
        <f>+'Plan de Accion 2018'!F121</f>
        <v>Actividades de promoción del  autocontrol para los funcionarios de ADRES.</v>
      </c>
      <c r="E222" s="338" t="str">
        <f>+'Plan de Accion 2018'!B121</f>
        <v>Oficina de Control Interno</v>
      </c>
      <c r="F222" s="339" t="str">
        <f>+'Plan de Accion 2018'!R121</f>
        <v>(Cantidad de Mensajes de autocontrol del mes/12) *100</v>
      </c>
      <c r="H222" s="1392">
        <f>+'Plan de Accion 2018'!AA121</f>
        <v>0.25</v>
      </c>
      <c r="I222" s="1393">
        <f>+'Plan de Accion 2018'!BL121</f>
        <v>1</v>
      </c>
      <c r="J222" s="1393">
        <f t="shared" si="59"/>
        <v>1</v>
      </c>
      <c r="K222" s="1393">
        <f>+'Plan de Accion 2018'!AE121</f>
        <v>0.25</v>
      </c>
      <c r="L222" s="1393">
        <f t="shared" si="60"/>
        <v>0.25</v>
      </c>
      <c r="M222" s="1394">
        <f t="shared" si="61"/>
        <v>0.25</v>
      </c>
      <c r="N222" s="887"/>
      <c r="O222" s="340">
        <f>+'Plan de Accion 2018'!AK121</f>
        <v>0.25</v>
      </c>
      <c r="P222" s="890">
        <f>+'Plan de Accion 2018'!BN121</f>
        <v>1</v>
      </c>
      <c r="Q222" s="872">
        <f t="shared" si="50"/>
        <v>1</v>
      </c>
      <c r="R222" s="892">
        <f>+'Plan de Accion 2018'!AO121</f>
        <v>0.5</v>
      </c>
      <c r="S222" s="891">
        <f t="shared" si="51"/>
        <v>0.5</v>
      </c>
      <c r="T222" s="878">
        <f t="shared" si="52"/>
        <v>0.5</v>
      </c>
      <c r="U222" s="336"/>
      <c r="V222" s="340">
        <f>+'Plan de Accion 2018'!AU121</f>
        <v>0</v>
      </c>
      <c r="W222" s="890">
        <f>+'Plan de Accion 2018'!BP121</f>
        <v>0</v>
      </c>
      <c r="X222" s="870">
        <f t="shared" si="53"/>
        <v>0</v>
      </c>
      <c r="Y222" s="890">
        <f>+'Plan de Accion 2018'!AY121</f>
        <v>0.5</v>
      </c>
      <c r="Z222" s="892">
        <f t="shared" si="66"/>
        <v>0.5</v>
      </c>
      <c r="AA222" s="878">
        <f t="shared" si="58"/>
        <v>0.5</v>
      </c>
      <c r="AB222" s="336"/>
      <c r="AC222" s="340">
        <f>+'Plan de Accion 2018'!BE121</f>
        <v>0</v>
      </c>
      <c r="AD222" s="341">
        <f>+'Plan de Accion 2018'!BR121</f>
        <v>0</v>
      </c>
      <c r="AE222" s="870">
        <f t="shared" si="54"/>
        <v>0</v>
      </c>
      <c r="AF222" s="885">
        <f>+'Plan de Accion 2018'!BI121</f>
        <v>0.5</v>
      </c>
      <c r="AG222" s="878">
        <f t="shared" si="55"/>
        <v>0.5</v>
      </c>
      <c r="AH222" s="1120"/>
      <c r="AJ222" s="1111"/>
      <c r="AK222" s="1108"/>
      <c r="AL222" s="321"/>
      <c r="AM222" s="1114"/>
      <c r="AN222" s="1108"/>
      <c r="AO222" s="321"/>
      <c r="AP222" s="1108"/>
      <c r="AQ222" s="1108"/>
      <c r="AR222" s="321"/>
      <c r="AS222" s="1108"/>
      <c r="AT222" s="1108"/>
      <c r="AU222" s="328"/>
      <c r="AV222" s="1117"/>
      <c r="AX222" s="1111"/>
      <c r="AY222" s="1108"/>
      <c r="AZ222" s="321"/>
      <c r="BA222" s="1114"/>
      <c r="BB222" s="1108"/>
      <c r="BC222" s="321"/>
      <c r="BD222" s="1108"/>
      <c r="BE222" s="1108"/>
      <c r="BF222" s="321"/>
      <c r="BG222" s="1108"/>
      <c r="BH222" s="1108"/>
      <c r="BI222" s="328"/>
      <c r="BJ222" s="1117"/>
      <c r="BL222" s="1111"/>
      <c r="BM222" s="1108"/>
      <c r="BN222" s="321"/>
      <c r="BO222" s="1114"/>
      <c r="BP222" s="1108"/>
      <c r="BQ222" s="321"/>
      <c r="BR222" s="1108"/>
      <c r="BS222" s="1108"/>
      <c r="BT222" s="321"/>
      <c r="BU222" s="1108"/>
      <c r="BV222" s="1108"/>
      <c r="BW222" s="328"/>
      <c r="BX222" s="1117"/>
      <c r="BZ222" s="1111"/>
      <c r="CA222" s="1108"/>
      <c r="CB222" s="321"/>
      <c r="CC222" s="1114"/>
      <c r="CD222" s="1108"/>
      <c r="CE222" s="321"/>
      <c r="CF222" s="1108"/>
      <c r="CG222" s="1108"/>
      <c r="CH222" s="321"/>
      <c r="CI222" s="1108"/>
      <c r="CJ222" s="1108"/>
      <c r="CK222" s="328"/>
      <c r="CL222" s="1117"/>
    </row>
    <row r="223" spans="2:90" ht="15.75" thickBot="1" x14ac:dyDescent="0.25">
      <c r="B223" s="1153"/>
      <c r="C223" s="1154" t="s">
        <v>813</v>
      </c>
      <c r="D223" s="1155"/>
      <c r="E223" s="1155"/>
      <c r="F223" s="1156"/>
      <c r="H223" s="358" t="s">
        <v>792</v>
      </c>
      <c r="I223" s="344">
        <f>SUM(I220:I222)/COUNT(I220:I222)</f>
        <v>1.0977777777777777</v>
      </c>
      <c r="J223" s="876">
        <f t="shared" si="59"/>
        <v>1</v>
      </c>
      <c r="K223" s="344">
        <f>SUM(K220:K222)/COUNT(K220:K222)</f>
        <v>0.31148148148148147</v>
      </c>
      <c r="L223" s="344">
        <f>SUM(L220:L222)/COUNT(L220:L222)</f>
        <v>0.24666666666666667</v>
      </c>
      <c r="M223" s="346">
        <f t="shared" ref="L223:M223" si="67">SUM(M220:M222)/COUNT(M220:M222)</f>
        <v>0.24666666666666667</v>
      </c>
      <c r="N223" s="1406"/>
      <c r="O223" s="358" t="s">
        <v>792</v>
      </c>
      <c r="P223" s="876">
        <f>SUM(P220:P222)/COUNT(P220:P222)</f>
        <v>1.9027777777777777</v>
      </c>
      <c r="Q223" s="876">
        <f>SUM(Q220:Q222)/COUNT(Q220:Q222)</f>
        <v>0.90277777777777779</v>
      </c>
      <c r="R223" s="880">
        <f>SUM(R220:R222)/COUNT(R220:R222)</f>
        <v>0.75013888888888891</v>
      </c>
      <c r="S223" s="918">
        <f>SUM(S220:S222)/COUNT(S220:S222)</f>
        <v>0.47236111111111106</v>
      </c>
      <c r="T223" s="888">
        <f>SUM(T220:T222)/COUNT(T220:T222)</f>
        <v>0.47236111111111106</v>
      </c>
      <c r="U223" s="369"/>
      <c r="V223" s="358" t="s">
        <v>792</v>
      </c>
      <c r="W223" s="344">
        <f>SUM(W220:W222)/COUNT(W220:W222)</f>
        <v>0</v>
      </c>
      <c r="X223" s="344">
        <f>SUM(X220:X222)/COUNT(X220:X222)</f>
        <v>0</v>
      </c>
      <c r="Y223" s="898">
        <f>SUM(Y220:Y222)/COUNT(Y220:Y222)</f>
        <v>0.75013888888888891</v>
      </c>
      <c r="Z223" s="926">
        <f>SUM(Z220:Z222)/COUNT(Z220:Z222)</f>
        <v>0.55569444444444438</v>
      </c>
      <c r="AA223" s="858">
        <f>SUM(AA220:AA222)/COUNT(AA220:AA222)</f>
        <v>0.55569444444444438</v>
      </c>
      <c r="AB223" s="369"/>
      <c r="AC223" s="358" t="s">
        <v>792</v>
      </c>
      <c r="AD223" s="344">
        <f>SUM(AD220:AD222)/COUNT(AD220:AD222)</f>
        <v>0</v>
      </c>
      <c r="AE223" s="344">
        <f>SUM(AE220:AE222)/COUNT(AE220:AE222)</f>
        <v>0</v>
      </c>
      <c r="AF223" s="900">
        <f>SUM(AF220:AF222)/COUNT(AF220:AF222)</f>
        <v>0.75013888888888891</v>
      </c>
      <c r="AG223" s="860">
        <f>SUM(AG220:AG222)/COUNT(AG220:AG222)</f>
        <v>0.63902777777777775</v>
      </c>
      <c r="AH223" s="325"/>
      <c r="AJ223" s="327"/>
      <c r="AK223" s="327"/>
      <c r="AL223" s="321"/>
      <c r="AM223" s="412"/>
      <c r="AN223" s="327"/>
      <c r="AO223" s="321"/>
      <c r="AP223" s="327"/>
      <c r="AQ223" s="327"/>
      <c r="AR223" s="321"/>
      <c r="AS223" s="327"/>
      <c r="AT223" s="327"/>
      <c r="AU223" s="328"/>
      <c r="AV223" s="329"/>
      <c r="AX223" s="327"/>
      <c r="AY223" s="327"/>
      <c r="AZ223" s="321"/>
      <c r="BA223" s="412"/>
      <c r="BB223" s="327"/>
      <c r="BC223" s="321"/>
      <c r="BD223" s="327"/>
      <c r="BE223" s="327"/>
      <c r="BF223" s="321"/>
      <c r="BG223" s="327"/>
      <c r="BH223" s="327"/>
      <c r="BI223" s="328"/>
      <c r="BJ223" s="329"/>
      <c r="BL223" s="327"/>
      <c r="BM223" s="327"/>
      <c r="BN223" s="321"/>
      <c r="BO223" s="412"/>
      <c r="BP223" s="327"/>
      <c r="BQ223" s="321"/>
      <c r="BR223" s="327"/>
      <c r="BS223" s="327"/>
      <c r="BT223" s="321"/>
      <c r="BU223" s="327"/>
      <c r="BV223" s="327"/>
      <c r="BW223" s="328"/>
      <c r="BX223" s="329"/>
      <c r="BZ223" s="327"/>
      <c r="CA223" s="327"/>
      <c r="CB223" s="321"/>
      <c r="CC223" s="412"/>
      <c r="CD223" s="327"/>
      <c r="CE223" s="321"/>
      <c r="CF223" s="327"/>
      <c r="CG223" s="327"/>
      <c r="CH223" s="321"/>
      <c r="CI223" s="327"/>
      <c r="CJ223" s="327"/>
      <c r="CK223" s="328"/>
      <c r="CL223" s="329"/>
    </row>
    <row r="224" spans="2:90" ht="20.25" thickBot="1" x14ac:dyDescent="0.3">
      <c r="B224" s="1148" t="s">
        <v>814</v>
      </c>
      <c r="C224" s="1149"/>
      <c r="D224" s="1149"/>
      <c r="E224" s="1149"/>
      <c r="F224" s="1150"/>
      <c r="H224" s="381" t="str">
        <f>+H223</f>
        <v>N.A</v>
      </c>
      <c r="I224" s="382">
        <f>+I223</f>
        <v>1.0977777777777777</v>
      </c>
      <c r="J224" s="873">
        <f t="shared" si="59"/>
        <v>1</v>
      </c>
      <c r="K224" s="382">
        <f>+K223</f>
        <v>0.31148148148148147</v>
      </c>
      <c r="L224" s="382">
        <f>+L223</f>
        <v>0.24666666666666667</v>
      </c>
      <c r="M224" s="383">
        <f t="shared" ref="L224:M224" si="68">+M223</f>
        <v>0.24666666666666667</v>
      </c>
      <c r="N224" s="1409"/>
      <c r="O224" s="381" t="str">
        <f t="shared" ref="O224:T224" si="69">+O223</f>
        <v>N.A</v>
      </c>
      <c r="P224" s="382">
        <f t="shared" si="69"/>
        <v>1.9027777777777777</v>
      </c>
      <c r="Q224" s="877">
        <f t="shared" si="69"/>
        <v>0.90277777777777779</v>
      </c>
      <c r="R224" s="873">
        <f t="shared" si="69"/>
        <v>0.75013888888888891</v>
      </c>
      <c r="S224" s="382">
        <f t="shared" si="69"/>
        <v>0.47236111111111106</v>
      </c>
      <c r="T224" s="383">
        <f t="shared" si="69"/>
        <v>0.47236111111111106</v>
      </c>
      <c r="U224" s="380"/>
      <c r="V224" s="381" t="str">
        <f t="shared" ref="V224:AA224" si="70">+V223</f>
        <v>N.A</v>
      </c>
      <c r="W224" s="382">
        <f t="shared" si="70"/>
        <v>0</v>
      </c>
      <c r="X224" s="382">
        <f t="shared" si="70"/>
        <v>0</v>
      </c>
      <c r="Y224" s="899">
        <f t="shared" si="70"/>
        <v>0.75013888888888891</v>
      </c>
      <c r="Z224" s="927">
        <f t="shared" si="70"/>
        <v>0.55569444444444438</v>
      </c>
      <c r="AA224" s="859">
        <f t="shared" si="70"/>
        <v>0.55569444444444438</v>
      </c>
      <c r="AB224" s="380"/>
      <c r="AC224" s="381" t="str">
        <f>+AC223</f>
        <v>N.A</v>
      </c>
      <c r="AD224" s="382">
        <f>+AD223</f>
        <v>0</v>
      </c>
      <c r="AE224" s="382">
        <f>+AE223</f>
        <v>0</v>
      </c>
      <c r="AF224" s="901">
        <f>+AF223</f>
        <v>0.75013888888888891</v>
      </c>
      <c r="AG224" s="861">
        <f>+AG223</f>
        <v>0.63902777777777775</v>
      </c>
      <c r="AJ224" s="400"/>
      <c r="AK224" s="411" t="e">
        <f>SUM(AK220:AK223)/COUNT(AK220:AK223)</f>
        <v>#REF!</v>
      </c>
      <c r="AL224" s="402"/>
      <c r="AM224" s="400"/>
      <c r="AN224" s="401" t="e">
        <f>SUM(AN220:AN223)/COUNT(AN220:AN223)</f>
        <v>#REF!</v>
      </c>
      <c r="AO224" s="402"/>
      <c r="AP224" s="400"/>
      <c r="AQ224" s="401" t="e">
        <f>SUM(AQ220:AQ223)/COUNT(AQ220:AQ223)</f>
        <v>#REF!</v>
      </c>
      <c r="AR224" s="402"/>
      <c r="AS224" s="400"/>
      <c r="AT224" s="401" t="e">
        <f>SUM(AT220:AT223)/COUNT(AT220:AT223)</f>
        <v>#REF!</v>
      </c>
      <c r="AX224" s="400"/>
      <c r="AY224" s="411" t="e">
        <f>SUM(AY220:AY223)/COUNT(AY220:AY223)</f>
        <v>#REF!</v>
      </c>
      <c r="AZ224" s="402"/>
      <c r="BA224" s="400"/>
      <c r="BB224" s="401" t="e">
        <f>SUM(BB220:BB223)/COUNT(BB220:BB223)</f>
        <v>#REF!</v>
      </c>
      <c r="BC224" s="402"/>
      <c r="BD224" s="400"/>
      <c r="BE224" s="401" t="e">
        <f>SUM(BE220:BE223)/COUNT(BE220:BE223)</f>
        <v>#REF!</v>
      </c>
      <c r="BF224" s="402"/>
      <c r="BG224" s="400"/>
      <c r="BH224" s="401" t="e">
        <f>SUM(BH220:BH223)/COUNT(BH220:BH223)</f>
        <v>#REF!</v>
      </c>
      <c r="BL224" s="400"/>
      <c r="BM224" s="411" t="e">
        <f>SUM(BM220:BM223)/COUNT(BM220:BM223)</f>
        <v>#REF!</v>
      </c>
      <c r="BN224" s="402"/>
      <c r="BO224" s="400"/>
      <c r="BP224" s="401" t="e">
        <f>SUM(BP220:BP223)/COUNT(BP220:BP223)</f>
        <v>#REF!</v>
      </c>
      <c r="BQ224" s="402"/>
      <c r="BR224" s="400"/>
      <c r="BS224" s="401" t="e">
        <f>SUM(BS220:BS223)/COUNT(BS220:BS223)</f>
        <v>#REF!</v>
      </c>
      <c r="BT224" s="402"/>
      <c r="BU224" s="400"/>
      <c r="BV224" s="401" t="e">
        <f>SUM(BV220:BV223)/COUNT(BV220:BV223)</f>
        <v>#REF!</v>
      </c>
      <c r="BZ224" s="400"/>
      <c r="CA224" s="411" t="e">
        <f>SUM(CA220:CA223)/COUNT(CA220:CA223)</f>
        <v>#REF!</v>
      </c>
      <c r="CB224" s="402"/>
      <c r="CC224" s="400"/>
      <c r="CD224" s="401" t="e">
        <f>SUM(CD220:CD223)/COUNT(CD220:CD223)</f>
        <v>#REF!</v>
      </c>
      <c r="CE224" s="402"/>
      <c r="CF224" s="400"/>
      <c r="CG224" s="401" t="e">
        <f>SUM(CG220:CG223)/COUNT(CG220:CG223)</f>
        <v>#REF!</v>
      </c>
      <c r="CH224" s="402"/>
      <c r="CI224" s="400"/>
      <c r="CJ224" s="401" t="e">
        <f>SUM(CJ220:CJ223)/COUNT(CJ220:CJ223)</f>
        <v>#REF!</v>
      </c>
    </row>
    <row r="225" spans="2:58" ht="25.5" thickBot="1" x14ac:dyDescent="0.35">
      <c r="B225" s="1148" t="s">
        <v>1195</v>
      </c>
      <c r="C225" s="1149"/>
      <c r="D225" s="1149"/>
      <c r="E225" s="1149"/>
      <c r="F225" s="1150"/>
      <c r="H225" s="416" t="str">
        <f>+H224</f>
        <v>N.A</v>
      </c>
      <c r="I225" s="417">
        <f>(I107+I178+I219+I224)/4</f>
        <v>0.89093037083182813</v>
      </c>
      <c r="J225" s="1395">
        <f t="shared" si="59"/>
        <v>0.89093037083182813</v>
      </c>
      <c r="K225" s="920">
        <f>+(K107+K178+K219+K224)/4</f>
        <v>0.23151026751374848</v>
      </c>
      <c r="L225" s="920">
        <f>+(L107+L178+L219+L224)/4</f>
        <v>0.17830705749569473</v>
      </c>
      <c r="M225" s="418">
        <f t="shared" ref="L225:M225" si="71">+(M107+M178+M219+M224)/4</f>
        <v>0.18857823359052228</v>
      </c>
      <c r="N225" s="1411"/>
      <c r="O225" s="854" t="str">
        <f>+O224</f>
        <v>N.A</v>
      </c>
      <c r="P225" s="855">
        <f>+(P107+P178+P219+P224)/4</f>
        <v>1.2111790892564041</v>
      </c>
      <c r="Q225" s="855">
        <f>+(Q107+Q178+Q219+Q224)/4</f>
        <v>0.79203284065219015</v>
      </c>
      <c r="R225" s="881">
        <f>+(R107+R178+R219+R224)/4</f>
        <v>0.5484088901251305</v>
      </c>
      <c r="S225" s="920">
        <f>+(S107+S178+S219+S224)/4</f>
        <v>0.38029043226745324</v>
      </c>
      <c r="T225" s="418">
        <f>+(T107+T178+T219+T224)/4</f>
        <v>0.42016149872646086</v>
      </c>
      <c r="U225" s="853"/>
      <c r="V225" s="854" t="str">
        <f>+V224</f>
        <v>N.A</v>
      </c>
      <c r="W225" s="856">
        <f>+(W107+W178+W219+W224)/4</f>
        <v>0</v>
      </c>
      <c r="X225" s="856">
        <f>+(X107+X178+X219+X224)/4</f>
        <v>0</v>
      </c>
      <c r="Y225" s="881">
        <f>+(Y107+Y178+Y219+Y224)/4</f>
        <v>0.48485380382410298</v>
      </c>
      <c r="Z225" s="920">
        <f>+(Z107+Z178+Z219+Z224)/4</f>
        <v>0.41306177748847384</v>
      </c>
      <c r="AA225" s="418">
        <f>+(AA107+AA178+AA219+AA224)/4</f>
        <v>0.44506524091573463</v>
      </c>
      <c r="AB225" s="853"/>
      <c r="AC225" s="854" t="str">
        <f>+AC224</f>
        <v>N.A</v>
      </c>
      <c r="AD225" s="856">
        <f>+(AD107+AD178+AD219+AD224)/4</f>
        <v>0</v>
      </c>
      <c r="AE225" s="856">
        <f>+(AE107+AE178+AE219+AE224)/4</f>
        <v>0</v>
      </c>
      <c r="AF225" s="881">
        <f>+(AF107+AF178+AF219+AF224)/4</f>
        <v>0.48456634812725186</v>
      </c>
      <c r="AG225" s="418">
        <f>+(AG107+AG178+AG219+AG224)/4</f>
        <v>0.43801517837676807</v>
      </c>
      <c r="BE225" s="300"/>
      <c r="BF225" s="300"/>
    </row>
    <row r="226" spans="2:58" ht="25.5" thickBot="1" x14ac:dyDescent="0.35">
      <c r="B226" s="1148" t="s">
        <v>1196</v>
      </c>
      <c r="C226" s="1149"/>
      <c r="D226" s="1149"/>
      <c r="E226" s="1149"/>
      <c r="F226" s="1150"/>
      <c r="H226" s="416" t="str">
        <f>+H225</f>
        <v>N.A</v>
      </c>
      <c r="I226" s="417">
        <f>SUM(I15:I36,I38:I64,I66:I76,I78:I97,I99:I105,I108:I122,I124:I145,I147:I154,I156:I166,I168:I176,I179:I202,I204:I205,I207:I209,I211:I217,I220:I222)/COUNT(I15:I36,I38:I64,I66:I76,I78:I97,I99:I105,I108:I122,I124:I145,I147:I154,I156:I166,I168:I176,I179:I202,I204:I205,I207:I209,I211:I217,I220:I222)</f>
        <v>0.87179195721597191</v>
      </c>
      <c r="J226" s="1395">
        <f t="shared" si="59"/>
        <v>0.87179195721597191</v>
      </c>
      <c r="K226" s="920">
        <f>SUM(K15:K17,K18:K36,K38:K64,K66:K76,K78:K97,K99:K105,K108:K122,K124:K145,K147:K154,K156:K166,K168:K176,K179:K202,K204:K205,K207:K209,K211:K217,K220:K222)/COUNT(K15:K17,K18:K36,K38:K64,K66:K76,K78:K97,K99:K105,K108:K122,K124:K145,K147:K154,K156:K166,K168:K176,K179:K202,K204:K205,K207:K209,K211:K217,K220:K222)</f>
        <v>0.18105610565779709</v>
      </c>
      <c r="L226" s="920">
        <f>SUM(L15:L17,L18:L36,L38:L64,L66:L76,L78:L97,L99:L105,L108:L122,L124:L145,L147:L154,L156:L166,L168:L176,L179:L202,L204:L205,L207:L209,L211:L217,L220:L222)/COUNT(L15:L17,L18:L36,L38:L64,L66:L76,L78:L97,L99:L105,L108:L122,L124:L145,L147:L154,L156:L166,L168:L176,L179:L202,L204:L205,L207:L209,L211:L217,L220:L222)</f>
        <v>0.14638695878727698</v>
      </c>
      <c r="M226" s="418">
        <f>SUM(M15:M17,M18:M36,M38:M64,M66:M76,M78:M97,M99:M105,M108:M122,M124:M145,M147:M154,M156:M166,M168:M176,M179:M202,M204:M205,M207:M209,M211:M217,M220:M222)/COUNT(M15:M17,M18:M36,M38:M64,M66:M76,M78:M97,M99:M105,M108:M122,M124:M145,M147:M154,M156:M166,M168:M176,M179:M202,M204:M205,M207:M209,M211:M217,M220:M222)</f>
        <v>0.17048725078274332</v>
      </c>
      <c r="N226" s="1411"/>
      <c r="O226" s="854" t="str">
        <f>+O225</f>
        <v>N.A</v>
      </c>
      <c r="P226" s="417">
        <f>SUM(P15:P36,P38:P64,P66:P76,P78:P97,P99:P105,P108:P111,P113:P122,P124:P145,P147:P154,P156:P166,P168:P176,P179:P202,P204:P205,P207:P209,P211:P217,P220:P222)/COUNT(P15:P36,P38:P64,P66:P76,P78:P97,P99:P105,P108:P111,P113:P122,P124:P145,P147:P154,P156:P166,P168:P176,P179:P202,P204:P205,P207:P209,P211:P217,P220:P222)</f>
        <v>0.84190929990908447</v>
      </c>
      <c r="Q226" s="417">
        <f>SUM(Q15:Q36,Q38:Q64,Q66:Q76,Q78:Q97,Q99:Q105,Q108:Q111,Q113:Q122,Q124:Q145,Q147:Q154,Q156:Q166,Q168:Q176,Q179:Q202,Q204:Q205,Q207:Q209,Q211:Q217,Q220:Q222)/COUNT(Q15:Q36,Q38:Q64,Q66:Q76,Q78:Q97,Q99:Q105,Q108:Q111,Q113:Q122,Q124:Q145,Q147:Q154,Q156:Q166,Q168:Q176,Q179:Q202,Q204:Q205,Q207:Q209,Q211:Q217,Q220:Q222)</f>
        <v>0.75322527958809726</v>
      </c>
      <c r="R226" s="875">
        <f>SUM(R15:R17,R18:R36,R38:R64,R66:R76,R78:R97,R99:R105,R108:R111,R113:R122,R124:R145,R147:R154,R156:R166,R168:R176,R179:R202,R204:R205,R207:R209,R211:R217,R220:R222)/COUNT(R15:R17,R18:R36,R38:R64,R66:R76,R78:R97,R99:R105,R108:R111,R113:R122,R124:R145,R147:R154,R156:R166,R168:R176,R179:R202,R204:R205,R207:R209,R211:R217,R220:R222)</f>
        <v>0.38004191991869685</v>
      </c>
      <c r="S226" s="417">
        <f>SUM(S15:S17,S18:S36,S38:S64,S66:S76,S78:S97,S99:S105,S108:S111,S113:S122,S124:S145,S147:S154,S156:S166,S168:S176,S179:S202,S204:S205,S207:S209,S211:S217,S220:S222)/COUNT(S15:S17,S18:S36,S38:S64,S66:S76,S78:S97,S99:S105,S108:S111,S113:S122,S124:S145,S147:S154,S156:S166,S168:S176,S179:S202,S204:S205,S207:S209,S211:S217,S220:S222)</f>
        <v>0.34098593599297888</v>
      </c>
      <c r="T226" s="882">
        <f>SUM(T15:T17,T18:T36,T38:T64,T66:T76,T78:T97,T99:T105,T108:T111,T113:T122,T124:T145,T147:T154,T156:T166,T168:T176,T179:T202,T204:T205,T207:T209,T211:T217,T220:T222)/COUNT(T15:T17,T18:T36,T38:T64,T66:T76,T78:T97,T99:T105,T108:T111,T113:T122,T124:T145,T147:T154,T156:T166,T168:T176,T179:T202,T204:T205,T207:T209,T211:T217,T220:T222)</f>
        <v>0.3846487692603725</v>
      </c>
      <c r="U226" s="853"/>
      <c r="V226" s="854" t="str">
        <f>+V225</f>
        <v>N.A</v>
      </c>
      <c r="W226" s="417">
        <f>SUM(W15:W36,W38:W64,W66:W76,W78:W97,W99:W105,W108:W111,W113:W122,W124:W145,W147:W154,W156:W166,W168:W176,W179:W202,W204:W205,W207:W209,W211:W217,W220:W222)/COUNT(W15:W36,W38:W64,W66:W76,W78:W97,W99:W105,W108:W111,W113:W122,W124:W145,W147:W154,W156:W166,W168:W176,W179:W202,W204:W205,W207:W209,W211:W217,W220:W222)</f>
        <v>0</v>
      </c>
      <c r="X226" s="417">
        <f>SUM(X15:X36,X38:X64,X66:X76,X78:X97,X99:X105,X108:X111,X113:X122,X124:X145,X147:X154,X156:X166,X168:X176,X179:X202,X204:X205,X207:X209,X211:X217,X220:X222)/COUNT(X15:X36,X38:X64,X66:X76,X78:X97,X99:X105,X108:X111,X113:X122,X124:X145,X147:X154,X156:X166,X168:X176,X179:X202,X204:X205,X207:X209,X211:X217,X220:X222)</f>
        <v>0</v>
      </c>
      <c r="Y226" s="881">
        <f>SUM(Y15:Y17,Y18:Y36,Y38:Y64,Y66:Y76,Y78:Y97,Y99:Y105,Y108:Y111,Y113:Y122,Y124:Y145,Y147:Y154,Y156:Y166,Y168:Y176,Y179:Y202,Y204:Y205,Y207:Y209,Y211:Y217,Y220:Y222)/COUNT(Y15:Y17,Y18:Y36,Y38:Y64,Y66:Y76,Y78:Y97,Y99:Y105,Y108:Y111,Y113:Y122,Y124:Y145,Y147:Y154,Y156:Y166,Y168:Y176,Y179:Y202,Y204:Y205,Y207:Y209,Y211:Y217,Y220:Y222)</f>
        <v>0.38055157110014098</v>
      </c>
      <c r="Z226" s="920">
        <f>SUM(Z15:Z17,Z18:Z36,Z38:Z64,Z66:Z76,Z78:Z97,Z99:Z105,Z108:Z111,Z113:Z122,Z124:Z145,Z147:Z154,Z156:Z166,Z168:Z176,Z179:Z202,Z204:Z205,Z207:Z209,Z211:Z217,Z220:Z222)/COUNT(Z15:Z17,Z18:Z36,Z38:Z64,Z66:Z76,Z78:Z97,Z99:Z105,Z108:Z111,Z113:Z122,Z124:Z145,Z147:Z154,Z156:Z166,Z168:Z176,Z179:Z202,Z204:Z205,Z207:Z209,Z211:Z217,Z220:Z222)</f>
        <v>0.35733201985976826</v>
      </c>
      <c r="AA226" s="418">
        <f>SUM(AA15:AA17,AA18:AA36,AA38:AA64,AA66:AA76,AA78:AA97,AA99:AA105,AA108:AA111,AA113:AA122,AA124:AA145,AA147:AA154,AA156:AA166,AA168:AA176,AA179:AA202,AA204:AA205,AA207:AA209,AA211:AA217,AA220:AA222)/COUNT(AA15:AA17,AA18:AA36,AA38:AA64,AA66:AA76,AA78:AA97,AA99:AA105,AA108:AA111,AA113:AA122,AA124:AA145,AA147:AA154,AA156:AA166,AA168:AA176,AA179:AA202,AA204:AA205,AA207:AA209,AA211:AA217,AA220:AA222)</f>
        <v>0.38433967252358792</v>
      </c>
      <c r="AB226" s="853"/>
      <c r="AC226" s="854" t="str">
        <f>+AC225</f>
        <v>N.A</v>
      </c>
      <c r="AD226" s="417">
        <f>SUM(AD15:AD36,AD38:AD64,AD66:AD76,AD78:AD97,AD99:AD105,AD108:AD111,AD113:AD122,AD124:AD145,AD147:AD154,AD156:AD166,AD168:AD176,AD179:AD202,AD204:AD205,AD207:AD209,AD211:AD217,AD220:AD222)/COUNT(AD15:AD36,AD38:AD64,AD66:AD76,AD78:AD97,AD99:AD105,AD108:AD111,AD113:AD122,AD124:AD145,AD147:AD154,AD156:AD166,AD168:AD176,AD179:AD202,AD204:AD205,AD207:AD209,AD211:AD217,AD220:AD222)</f>
        <v>0</v>
      </c>
      <c r="AE226" s="417">
        <f>SUM(AE15:AE36,AE38:AE64,AE66:AE76,AE78:AE97,AE99:AE105,AE108:AE111,AE113:AE122,AE124:AE145,AE147:AE154,AE156:AE166,AE168:AE176,AE179:AE202,AE204:AE205,AE207:AE209,AE211:AE217,AE220:AE222)/COUNT(AE15:AE36,AE38:AE64,AE66:AE76,AE78:AE97,AE99:AE105,AE108:AE111,AE113:AE122,AE124:AE145,AE147:AE154,AE156:AE166,AE168:AE176,AE179:AE202,AE204:AE205,AE207:AE209,AE211:AE217,AE220:AE222)</f>
        <v>0</v>
      </c>
      <c r="AF226" s="881">
        <f>SUM(AF15:AF17,AF18:AF36,AF38:AF64,AF66:AF76,AF78:AF97,AF99:AF105,AF108:AF111,AF113:AF122,AF124:AF145,AF147:AF154,AF156:AF166,AF168:AF176,AF179:AF202,AF204:AF205,AF207:AF209,AF211:AF217,AF220:AF222)/COUNT(AF15:AF17,AF18:AF36,AF38:AF64,AF66:AF76,AF78:AF97,AF99:AF105,AF108:AF111,AF113:AF122,AF124:AF145,AF147:AF154,AF156:AF166,AF168:AF176,AF179:AF202,AF204:AF205,AF207:AF209,AF211:AF217,AF220:AF222)</f>
        <v>0.38004191991869685</v>
      </c>
      <c r="AG226" s="418">
        <f>SUM(AG15:AG17,AG18:AG36,AG38:AG64,AG66:AG76,AG78:AG97,AG99:AG105,AG108:AG111,AG113:AG122,AG124:AG145,AG147:AG154,AG156:AG166,AG168:AG176,AG179:AG202,AG204:AG205,AG207:AG209,AG211:AG217,AG220:AG222)/COUNT(AG15:AG17,AG18:AG36,AG38:AG64,AG66:AG76,AG78:AG97,AG99:AG105,AG108:AG111,AG113:AG122,AG124:AG145,AG147:AG154,AG156:AG166,AG168:AG176,AG179:AG202,AG204:AG205,AG207:AG209,AG211:AG217,AG220:AG222)</f>
        <v>0.36278687326351838</v>
      </c>
    </row>
    <row r="227" spans="2:58" s="775" customFormat="1" ht="25.5" thickBot="1" x14ac:dyDescent="0.35">
      <c r="B227" s="1148" t="s">
        <v>1197</v>
      </c>
      <c r="C227" s="1149"/>
      <c r="D227" s="1149"/>
      <c r="E227" s="1149"/>
      <c r="F227" s="1150"/>
      <c r="G227" s="298"/>
      <c r="H227" s="416" t="str">
        <f>+H226</f>
        <v>N.A</v>
      </c>
      <c r="I227" s="417">
        <f>SUM(I108:I122,I124:I145,I147:I154,I156:I166,I168:I176,I179:I202,I204:I205,I207:I209,I211:I217,I220:I222)/COUNT(I108:I122,I124:I145,I147:I154,I156:I166,I168:I176,I179:I202,I204:I205,I207:I209,I211:I217,I220:I222)</f>
        <v>1.0026345385944009</v>
      </c>
      <c r="J227" s="1395">
        <f>IF(I227&gt;100%,100%,I227)</f>
        <v>1</v>
      </c>
      <c r="K227" s="920">
        <f>SUM(K108:K122,K124:K145,K147:K154,K156:K166,K168:K176,K179:K202,K204:K205,K207:K209,K211:K217,K220:K222)/COUNT(K108:K122,K124:K145,K147:K154,K156:K166,K168:K176,K179:K202,K204:K205,K207:K209,K211:K217,K220:K222)</f>
        <v>0.22845366903545564</v>
      </c>
      <c r="L227" s="920">
        <f t="shared" ref="L227:M227" si="72">SUM(L108:L122,L124:L145,L147:L154,L156:L166,L168:L176,L179:L202,L204:L205,L207:L209,L211:L217,L220:L222)/COUNT(L108:L122,L124:L145,L147:L154,L156:L166,L168:L176,L179:L202,L204:L205,L207:L209,L211:L217,L220:L222)</f>
        <v>0.18004238756167415</v>
      </c>
      <c r="M227" s="418">
        <f>SUM(M108:M122,M124:M145,M147:M154,M156:M166,M168:M176,M179:M202,M204:M205,M207:M209,M211:M217,M220:M222)/COUNT(M108:M122,M124:M145,M147:M154,M156:M166,M168:M176,M179:M202,M204:M205,M207:M209,M211:M217,M220:M222)</f>
        <v>0.21277736711834219</v>
      </c>
      <c r="N227" s="1411"/>
      <c r="O227" s="854" t="str">
        <f>+O226</f>
        <v>N.A</v>
      </c>
      <c r="P227" s="417">
        <f>SUM(P108:P111,P113:P122,P124:P145,P147:P154,P156:P166,P168:P176,P179:P202,P204:P205,P207:P209,P211:P217,P220:P222)/COUNT(P108:P111,P113:P122,P124:P145,P147:P154,P156:P166,P168:P176,P179:P202,P204:P205,P207:P209,P211:P217,P220:P222)</f>
        <v>1.0092521397914858</v>
      </c>
      <c r="Q227" s="417">
        <f>SUM(Q108:Q111,Q113:Q122,Q124:Q145,Q147:Q154,Q156:Q166,Q168:Q176,Q179:Q202,Q204:Q205,Q207:Q209,Q211:Q217,Q220:Q222)/COUNT(Q108:Q111,Q113:Q122,Q124:Q145,Q147:Q154,Q156:Q166,Q168:Q176,Q179:Q202,Q204:Q205,Q207:Q209,Q211:Q217,Q220:Q222)</f>
        <v>0.8850654738492153</v>
      </c>
      <c r="R227" s="875">
        <f>SUM(R108:R111,R113:R122,R124:R145,R147:R154,R156:R166,R168:R176,R179:R202,R204:R205,R207:R209,R211:R217,R220:R222)/COUNT(R108:R111,R113:R122,R124:R145,R147:R154,R156:R166,R168:R176,R179:R202,R204:R205,R207:R209,R211:R217,R220:R222)</f>
        <v>0.46835008616484258</v>
      </c>
      <c r="S227" s="417">
        <f>SUM(S108:S111,S113:S122,S124:S145,S147:S154,S156:S166,S168:S176,S179:S202,S204:S205,S207:S209,S211:S217,S220:S222)/COUNT(S108:S111,S113:S122,S124:S145,S147:S154,S156:S166,S168:S176,S179:S202,S204:S205,S207:S209,S211:S217,S220:S222)</f>
        <v>0.4068627203511011</v>
      </c>
      <c r="T227" s="882">
        <f>SUM(T108:T111,T113:T122,T124:T145,T147:T154,T156:T166,T168:T176,T179:T202,T204:T205,T207:T209,T211:T217,T220:T222)/COUNT(T108:T111,T113:T122,T124:T145,T147:T154,T156:T166,T168:T176,T179:T202,T204:T205,T207:T209,T211:T217,T220:T222)</f>
        <v>0.46563177995737126</v>
      </c>
      <c r="U227" s="853"/>
      <c r="V227" s="854" t="str">
        <f>+V226</f>
        <v>N.A</v>
      </c>
      <c r="W227" s="417">
        <f>SUM(W108:W111,W113:W122,W124:W145,W147:W154,W156:W166,W168:W176,W179:W202,W204:W205,W207:W209,W211:W217,W220:W222)/COUNT(W108:W111,W113:W122,W124:W145,W147:W154,W156:W166,W168:W176,W179:W202,W204:W205,W207:W209,W211:W217,W220:W222)</f>
        <v>0</v>
      </c>
      <c r="X227" s="417">
        <f>SUM(X108:X111,X113:X122,X124:X145,X147:X154,X156:X166,X168:X176,X179:X202,X204:X205,X207:X209,X211:X217,X220:X222)/COUNT(X108:X111,X113:X122,X124:X145,X147:X154,X156:X166,X168:X176,X179:X202,X204:X205,X207:X209,X211:X217,X220:X222)</f>
        <v>0</v>
      </c>
      <c r="Y227" s="875">
        <f>SUM(Y108:Y111,Y113:Y122,Y124:Y145,Y147:Y154,Y156:Y166,Y168:Y176,Y179:Y202,Y204:Y205,Y207:Y209,Y211:Y217,Y220:Y222)/COUNT(Y108:Y111,Y113:Y122,Y124:Y145,Y147:Y154,Y156:Y166,Y168:Y176,Y179:Y202,Y204:Y205,Y207:Y209,Y211:Y217,Y220:Y222)</f>
        <v>0.46835008616484258</v>
      </c>
      <c r="Z227" s="417">
        <f>SUM(Z108:Z111,Z113:Z122,Z124:Z145,Z147:Z154,Z156:Z166,Z168:Z176,Z179:Z202,Z204:Z205,Z207:Z209,Z211:Z217,Z220:Z222)/COUNT(Z108:Z111,Z113:Z122,Z124:Z145,Z147:Z154,Z156:Z166,Z168:Z176,Z179:Z202,Z204:Z205,Z207:Z209,Z211:Z217,Z220:Z222)</f>
        <v>0.42664506694669729</v>
      </c>
      <c r="AA227" s="882">
        <f>SUM(AA108:AA111,AA113:AA122,AA124:AA145,AA147:AA154,AA156:AA166,AA168:AA176,AA179:AA202,AA204:AA205,AA207:AA209,AA211:AA217,AA220:AA222)/COUNT(AA108:AA111,AA113:AA122,AA124:AA145,AA147:AA154,AA156:AA166,AA168:AA176,AA179:AA202,AA204:AA205,AA207:AA209,AA211:AA217,AA220:AA222)</f>
        <v>0.47765697712510674</v>
      </c>
      <c r="AB227" s="853"/>
      <c r="AC227" s="854" t="str">
        <f>+AC226</f>
        <v>N.A</v>
      </c>
      <c r="AD227" s="417">
        <f>SUM(AD108:AD111,AD113:AD122,AD124:AD145,AD147:AD154,AD156:AD166,AD168:AD176,AD179:AD202,AD204:AD205,AD207:AD209,AD211:AD217,AD220:AD222)/COUNT(AD108:AD111,AD113:AD122,AD124:AD145,AD147:AD154,AD156:AD166,AD168:AD176,AD179:AD202,AD204:AD205,AD207:AD209,AD211:AD217,AD220:AD222)</f>
        <v>0</v>
      </c>
      <c r="AE227" s="417">
        <f>SUM(AE108:AE111,AE113:AE122,AE124:AE145,AE147:AE154,AE156:AE166,AE168:AE176,AE179:AE202,AE204:AE205,AE207:AE209,AE211:AE217,AE220:AE222)/COUNT(AE108:AE111,AE113:AE122,AE124:AE145,AE147:AE154,AE156:AE166,AE168:AE176,AE179:AE202,AE204:AE205,AE207:AE209,AE211:AE217,AE220:AE222)</f>
        <v>0</v>
      </c>
      <c r="AF227" s="875">
        <f>SUM(AF108:AF111,AF113:AF122,AF124:AF145,AF147:AF154,AF156:AF166,AF168:AF176,AF179:AF202,AF204:AF205,AF207:AF209,AF211:AF217,AF220:AF222)/COUNT(AF108:AF111,AF113:AF122,AF124:AF145,AF147:AF154,AF156:AF166,AF168:AF176,AF179:AF202,AF204:AF205,AF207:AF209,AF211:AF217,AF220:AF222)</f>
        <v>0.46835008616484258</v>
      </c>
      <c r="AG227" s="882">
        <f>SUM(AG108:AG111,AG113:AG122,AG124:AG145,AG147:AG154,AG156:AG166,AG168:AG176,AG179:AG202,AG204:AG205,AG207:AG209,AG211:AG217,AG220:AG222)/COUNT(AG108:AG111,AG113:AG122,AG124:AG145,AG147:AG154,AG156:AG166,AG168:AG176,AG179:AG202,AG204:AG205,AG207:AG209,AG211:AG217,AG220:AG222)</f>
        <v>0.43735801207544428</v>
      </c>
    </row>
    <row r="228" spans="2:58" s="299" customFormat="1" ht="24.75" x14ac:dyDescent="0.3">
      <c r="B228" s="863"/>
      <c r="C228" s="863"/>
      <c r="D228" s="863"/>
      <c r="E228" s="863"/>
      <c r="F228" s="863"/>
      <c r="G228" s="298"/>
      <c r="H228" s="864"/>
      <c r="I228" s="775"/>
      <c r="J228" s="775"/>
      <c r="K228" s="775"/>
      <c r="L228" s="775"/>
      <c r="M228" s="775"/>
      <c r="N228" s="1411"/>
      <c r="O228" s="864"/>
      <c r="P228" s="775"/>
      <c r="Q228" s="775"/>
      <c r="R228" s="775"/>
      <c r="S228" s="775"/>
      <c r="T228" s="775"/>
      <c r="U228" s="853"/>
      <c r="V228" s="864"/>
      <c r="W228" s="775"/>
      <c r="X228" s="775"/>
      <c r="Y228" s="775"/>
      <c r="Z228" s="775"/>
      <c r="AA228" s="775"/>
      <c r="AB228" s="853"/>
      <c r="AC228" s="864"/>
      <c r="AD228" s="775"/>
      <c r="AE228" s="775"/>
      <c r="AF228" s="775"/>
      <c r="AG228" s="775"/>
    </row>
    <row r="229" spans="2:58" ht="24.75" customHeight="1" x14ac:dyDescent="0.25">
      <c r="B229" s="857" t="s">
        <v>1202</v>
      </c>
      <c r="C229" s="413"/>
      <c r="D229" s="413"/>
      <c r="E229" s="413"/>
      <c r="F229" s="414"/>
      <c r="I229" s="775"/>
      <c r="K229" s="775"/>
      <c r="R229" s="775"/>
      <c r="AD229" s="775"/>
      <c r="AF229" s="775"/>
    </row>
    <row r="230" spans="2:58" x14ac:dyDescent="0.2">
      <c r="B230" s="413"/>
      <c r="C230" s="413"/>
      <c r="D230" s="413"/>
      <c r="E230" s="413"/>
      <c r="F230" s="414"/>
    </row>
    <row r="231" spans="2:58" x14ac:dyDescent="0.2">
      <c r="B231" s="413"/>
      <c r="C231" s="413"/>
      <c r="D231" s="413"/>
      <c r="E231" s="413"/>
      <c r="F231" s="414"/>
    </row>
    <row r="232" spans="2:58" x14ac:dyDescent="0.2">
      <c r="T232" s="303"/>
    </row>
    <row r="233" spans="2:58" ht="18" x14ac:dyDescent="0.25">
      <c r="B233" s="415"/>
      <c r="C233" s="415"/>
      <c r="D233" s="415"/>
      <c r="E233" s="415"/>
      <c r="I233" s="303"/>
      <c r="J233" s="303"/>
      <c r="K233" s="303"/>
      <c r="L233" s="303"/>
      <c r="M233" s="303"/>
    </row>
    <row r="234" spans="2:58" ht="18" x14ac:dyDescent="0.25">
      <c r="B234" s="415"/>
      <c r="C234" s="415"/>
      <c r="D234" s="415"/>
      <c r="E234" s="415"/>
      <c r="G234" s="297"/>
      <c r="H234" s="297"/>
      <c r="N234" s="1412"/>
      <c r="U234" s="297"/>
      <c r="AB234" s="297"/>
    </row>
    <row r="235" spans="2:58" ht="18" x14ac:dyDescent="0.25">
      <c r="B235" s="415"/>
      <c r="C235" s="415"/>
      <c r="D235" s="415"/>
      <c r="E235" s="415"/>
      <c r="G235" s="297"/>
      <c r="H235" s="297"/>
      <c r="N235" s="1412"/>
      <c r="U235" s="297"/>
      <c r="AB235" s="297"/>
    </row>
  </sheetData>
  <autoFilter ref="B14:CL227" xr:uid="{00000000-0009-0000-0000-000004000000}"/>
  <mergeCells count="499">
    <mergeCell ref="I14:J14"/>
    <mergeCell ref="K14:M14"/>
    <mergeCell ref="AF14:AG14"/>
    <mergeCell ref="AE86:AE89"/>
    <mergeCell ref="AG86:AG89"/>
    <mergeCell ref="AE91:AE93"/>
    <mergeCell ref="AG91:AG93"/>
    <mergeCell ref="B227:F227"/>
    <mergeCell ref="W1:AH3"/>
    <mergeCell ref="D2:E2"/>
    <mergeCell ref="F2:V2"/>
    <mergeCell ref="D3:E3"/>
    <mergeCell ref="G3:P3"/>
    <mergeCell ref="R3:U3"/>
    <mergeCell ref="B178:F178"/>
    <mergeCell ref="C177:F177"/>
    <mergeCell ref="F121:F122"/>
    <mergeCell ref="B108:B177"/>
    <mergeCell ref="C124:C145"/>
    <mergeCell ref="C155:F155"/>
    <mergeCell ref="D148:D150"/>
    <mergeCell ref="F22:F35"/>
    <mergeCell ref="B1:C3"/>
    <mergeCell ref="D1:E1"/>
    <mergeCell ref="F1:V1"/>
    <mergeCell ref="F59:F64"/>
    <mergeCell ref="F69:F71"/>
    <mergeCell ref="F75:F76"/>
    <mergeCell ref="F78:F81"/>
    <mergeCell ref="F85:F97"/>
    <mergeCell ref="F99:F105"/>
    <mergeCell ref="C77:F77"/>
    <mergeCell ref="C98:F98"/>
    <mergeCell ref="E38:E64"/>
    <mergeCell ref="C38:C64"/>
    <mergeCell ref="C66:C76"/>
    <mergeCell ref="E66:E76"/>
    <mergeCell ref="C106:F106"/>
    <mergeCell ref="B15:B106"/>
    <mergeCell ref="B226:F226"/>
    <mergeCell ref="C147:C154"/>
    <mergeCell ref="E147:E154"/>
    <mergeCell ref="E104:E105"/>
    <mergeCell ref="C99:C105"/>
    <mergeCell ref="E78:E96"/>
    <mergeCell ref="C78:C97"/>
    <mergeCell ref="C156:C166"/>
    <mergeCell ref="E156:E166"/>
    <mergeCell ref="C167:F167"/>
    <mergeCell ref="D140:D141"/>
    <mergeCell ref="F140:F141"/>
    <mergeCell ref="C108:C122"/>
    <mergeCell ref="E108:E114"/>
    <mergeCell ref="E121:E122"/>
    <mergeCell ref="C123:F123"/>
    <mergeCell ref="E124:E138"/>
    <mergeCell ref="E139:E145"/>
    <mergeCell ref="D128:D129"/>
    <mergeCell ref="C146:F146"/>
    <mergeCell ref="D115:D116"/>
    <mergeCell ref="E115:E116"/>
    <mergeCell ref="B107:F107"/>
    <mergeCell ref="C168:C176"/>
    <mergeCell ref="D168:D176"/>
    <mergeCell ref="D163:D166"/>
    <mergeCell ref="B225:F225"/>
    <mergeCell ref="E196:E200"/>
    <mergeCell ref="E201:E202"/>
    <mergeCell ref="C203:F203"/>
    <mergeCell ref="C179:C202"/>
    <mergeCell ref="C206:F206"/>
    <mergeCell ref="C210:F210"/>
    <mergeCell ref="E212:E217"/>
    <mergeCell ref="D212:D213"/>
    <mergeCell ref="C207:C209"/>
    <mergeCell ref="C211:C217"/>
    <mergeCell ref="B224:F224"/>
    <mergeCell ref="E207:E209"/>
    <mergeCell ref="C204:C205"/>
    <mergeCell ref="E179:E180"/>
    <mergeCell ref="E181:E182"/>
    <mergeCell ref="E183:E184"/>
    <mergeCell ref="E185:E186"/>
    <mergeCell ref="E187:E195"/>
    <mergeCell ref="E220:E221"/>
    <mergeCell ref="C220:C222"/>
    <mergeCell ref="B219:F219"/>
    <mergeCell ref="B220:B223"/>
    <mergeCell ref="C223:F223"/>
    <mergeCell ref="C218:F218"/>
    <mergeCell ref="B179:B218"/>
    <mergeCell ref="BL13:BX13"/>
    <mergeCell ref="BZ13:CL13"/>
    <mergeCell ref="D38:D58"/>
    <mergeCell ref="F38:F58"/>
    <mergeCell ref="C65:F65"/>
    <mergeCell ref="D15:D17"/>
    <mergeCell ref="CG16:CG38"/>
    <mergeCell ref="CI16:CI38"/>
    <mergeCell ref="CJ16:CJ38"/>
    <mergeCell ref="CL16:CL38"/>
    <mergeCell ref="BU16:BU38"/>
    <mergeCell ref="BV16:BV38"/>
    <mergeCell ref="BX16:BX38"/>
    <mergeCell ref="BZ16:BZ38"/>
    <mergeCell ref="CA16:CA38"/>
    <mergeCell ref="CC16:CC38"/>
    <mergeCell ref="CD16:CD38"/>
    <mergeCell ref="CF16:CF38"/>
    <mergeCell ref="BL16:BL38"/>
    <mergeCell ref="BM16:BM38"/>
    <mergeCell ref="BO16:BO38"/>
    <mergeCell ref="BP16:BP38"/>
    <mergeCell ref="BR16:BR38"/>
    <mergeCell ref="BS16:BS38"/>
    <mergeCell ref="C15:C36"/>
    <mergeCell ref="C37:F37"/>
    <mergeCell ref="E15:E31"/>
    <mergeCell ref="AX13:BJ13"/>
    <mergeCell ref="AH16:AH38"/>
    <mergeCell ref="AX16:AX38"/>
    <mergeCell ref="AY16:AY38"/>
    <mergeCell ref="BA16:BA38"/>
    <mergeCell ref="AJ16:AJ38"/>
    <mergeCell ref="AK16:AK38"/>
    <mergeCell ref="AM16:AM38"/>
    <mergeCell ref="AN16:AN38"/>
    <mergeCell ref="AP16:AP38"/>
    <mergeCell ref="AQ16:AQ38"/>
    <mergeCell ref="BB16:BB38"/>
    <mergeCell ref="BD16:BD38"/>
    <mergeCell ref="BE16:BE38"/>
    <mergeCell ref="BG16:BG38"/>
    <mergeCell ref="BH16:BH38"/>
    <mergeCell ref="BJ16:BJ38"/>
    <mergeCell ref="B5:C5"/>
    <mergeCell ref="BH39:BH41"/>
    <mergeCell ref="BM39:BM41"/>
    <mergeCell ref="BO39:BO41"/>
    <mergeCell ref="AS16:AS38"/>
    <mergeCell ref="AT16:AT38"/>
    <mergeCell ref="AV16:AV38"/>
    <mergeCell ref="AK39:AK41"/>
    <mergeCell ref="AM39:AM41"/>
    <mergeCell ref="AN39:AN41"/>
    <mergeCell ref="AP39:AP41"/>
    <mergeCell ref="AQ39:AQ41"/>
    <mergeCell ref="BB39:BB41"/>
    <mergeCell ref="BD39:BD41"/>
    <mergeCell ref="BE39:BE41"/>
    <mergeCell ref="BL39:BL41"/>
    <mergeCell ref="AJ39:AJ41"/>
    <mergeCell ref="AS39:AS41"/>
    <mergeCell ref="AT39:AT41"/>
    <mergeCell ref="AX39:AX41"/>
    <mergeCell ref="P14:Q14"/>
    <mergeCell ref="D5:E5"/>
    <mergeCell ref="H13:AH13"/>
    <mergeCell ref="AJ13:AV13"/>
    <mergeCell ref="AH108:AH110"/>
    <mergeCell ref="AJ108:AJ110"/>
    <mergeCell ref="AK108:AK110"/>
    <mergeCell ref="AX108:AX110"/>
    <mergeCell ref="AY108:AY110"/>
    <mergeCell ref="BA108:BA110"/>
    <mergeCell ref="AY39:AY41"/>
    <mergeCell ref="BA39:BA41"/>
    <mergeCell ref="BB108:BB110"/>
    <mergeCell ref="BD108:BD110"/>
    <mergeCell ref="AM108:AM110"/>
    <mergeCell ref="AN108:AN110"/>
    <mergeCell ref="AP108:AP110"/>
    <mergeCell ref="AQ108:AQ110"/>
    <mergeCell ref="AS108:AS110"/>
    <mergeCell ref="AT108:AT110"/>
    <mergeCell ref="AV108:AV110"/>
    <mergeCell ref="CG39:CG41"/>
    <mergeCell ref="CI39:CI41"/>
    <mergeCell ref="CJ39:CJ41"/>
    <mergeCell ref="BV39:BV41"/>
    <mergeCell ref="BZ39:BZ41"/>
    <mergeCell ref="CA39:CA41"/>
    <mergeCell ref="CC39:CC41"/>
    <mergeCell ref="CD39:CD41"/>
    <mergeCell ref="CF39:CF41"/>
    <mergeCell ref="BE108:BE110"/>
    <mergeCell ref="BG108:BG110"/>
    <mergeCell ref="BH108:BH110"/>
    <mergeCell ref="BJ108:BJ110"/>
    <mergeCell ref="BL108:BL110"/>
    <mergeCell ref="BM108:BM110"/>
    <mergeCell ref="BR39:BR41"/>
    <mergeCell ref="BS39:BS41"/>
    <mergeCell ref="BU39:BU41"/>
    <mergeCell ref="BP39:BP41"/>
    <mergeCell ref="BG39:BG41"/>
    <mergeCell ref="CL108:CL110"/>
    <mergeCell ref="BX108:BX110"/>
    <mergeCell ref="BZ108:BZ110"/>
    <mergeCell ref="CA108:CA110"/>
    <mergeCell ref="CC108:CC110"/>
    <mergeCell ref="CD108:CD110"/>
    <mergeCell ref="CF108:CF110"/>
    <mergeCell ref="BO108:BO110"/>
    <mergeCell ref="BP108:BP110"/>
    <mergeCell ref="BR108:BR110"/>
    <mergeCell ref="BS108:BS110"/>
    <mergeCell ref="BU108:BU110"/>
    <mergeCell ref="BV108:BV110"/>
    <mergeCell ref="CG108:CG110"/>
    <mergeCell ref="CI108:CI110"/>
    <mergeCell ref="CJ108:CJ110"/>
    <mergeCell ref="AH111:AH114"/>
    <mergeCell ref="AJ111:AJ114"/>
    <mergeCell ref="AK111:AK114"/>
    <mergeCell ref="AM111:AM114"/>
    <mergeCell ref="AN111:AN114"/>
    <mergeCell ref="AY111:AY114"/>
    <mergeCell ref="BA111:BA114"/>
    <mergeCell ref="BB111:BB114"/>
    <mergeCell ref="BD111:BD114"/>
    <mergeCell ref="BE111:BE114"/>
    <mergeCell ref="BG111:BG114"/>
    <mergeCell ref="AP111:AP114"/>
    <mergeCell ref="AQ111:AQ114"/>
    <mergeCell ref="AS111:AS114"/>
    <mergeCell ref="AT111:AT114"/>
    <mergeCell ref="AV111:AV114"/>
    <mergeCell ref="AX111:AX114"/>
    <mergeCell ref="CJ111:CJ114"/>
    <mergeCell ref="BH111:BH114"/>
    <mergeCell ref="BJ111:BJ114"/>
    <mergeCell ref="BL111:BL114"/>
    <mergeCell ref="BM111:BM114"/>
    <mergeCell ref="BO111:BO114"/>
    <mergeCell ref="BP111:BP114"/>
    <mergeCell ref="CL111:CL114"/>
    <mergeCell ref="CA111:CA114"/>
    <mergeCell ref="CC111:CC114"/>
    <mergeCell ref="CD111:CD114"/>
    <mergeCell ref="CF111:CF114"/>
    <mergeCell ref="CG111:CG114"/>
    <mergeCell ref="CI111:CI114"/>
    <mergeCell ref="BR111:BR114"/>
    <mergeCell ref="BS111:BS114"/>
    <mergeCell ref="BU111:BU114"/>
    <mergeCell ref="BV111:BV114"/>
    <mergeCell ref="BX111:BX114"/>
    <mergeCell ref="BZ111:BZ114"/>
    <mergeCell ref="CF117:CF122"/>
    <mergeCell ref="CG117:CG122"/>
    <mergeCell ref="CI117:CI122"/>
    <mergeCell ref="CJ117:CJ122"/>
    <mergeCell ref="BS117:BS122"/>
    <mergeCell ref="BU117:BU122"/>
    <mergeCell ref="BV117:BV122"/>
    <mergeCell ref="BZ117:BZ122"/>
    <mergeCell ref="CA117:CA122"/>
    <mergeCell ref="CC117:CC122"/>
    <mergeCell ref="CD117:CD122"/>
    <mergeCell ref="BH117:BH122"/>
    <mergeCell ref="BL117:BL122"/>
    <mergeCell ref="BM117:BM122"/>
    <mergeCell ref="BO117:BO122"/>
    <mergeCell ref="BP117:BP122"/>
    <mergeCell ref="BR117:BR122"/>
    <mergeCell ref="AY117:AY122"/>
    <mergeCell ref="BA117:BA122"/>
    <mergeCell ref="BB117:BB122"/>
    <mergeCell ref="BD117:BD122"/>
    <mergeCell ref="BE117:BE122"/>
    <mergeCell ref="BG117:BG122"/>
    <mergeCell ref="AN117:AN122"/>
    <mergeCell ref="AP117:AP122"/>
    <mergeCell ref="AQ117:AQ122"/>
    <mergeCell ref="AS117:AS122"/>
    <mergeCell ref="AT117:AT122"/>
    <mergeCell ref="AX117:AX122"/>
    <mergeCell ref="AJ117:AJ122"/>
    <mergeCell ref="AK117:AK122"/>
    <mergeCell ref="AM117:AM122"/>
    <mergeCell ref="AH179:AH183"/>
    <mergeCell ref="BJ179:BJ183"/>
    <mergeCell ref="AS179:AS183"/>
    <mergeCell ref="AT179:AT183"/>
    <mergeCell ref="AV179:AV183"/>
    <mergeCell ref="AX179:AX183"/>
    <mergeCell ref="AY179:AY183"/>
    <mergeCell ref="BA179:BA183"/>
    <mergeCell ref="AJ179:AJ183"/>
    <mergeCell ref="AK179:AK183"/>
    <mergeCell ref="AM179:AM183"/>
    <mergeCell ref="AN179:AN183"/>
    <mergeCell ref="AP179:AP183"/>
    <mergeCell ref="AQ179:AQ183"/>
    <mergeCell ref="BH179:BH183"/>
    <mergeCell ref="CD179:CD183"/>
    <mergeCell ref="CF179:CF183"/>
    <mergeCell ref="CG179:CG183"/>
    <mergeCell ref="CI179:CI183"/>
    <mergeCell ref="CJ179:CJ183"/>
    <mergeCell ref="CL179:CL183"/>
    <mergeCell ref="BU179:BU183"/>
    <mergeCell ref="BV179:BV183"/>
    <mergeCell ref="BX179:BX183"/>
    <mergeCell ref="BZ179:BZ183"/>
    <mergeCell ref="CA179:CA183"/>
    <mergeCell ref="CC179:CC183"/>
    <mergeCell ref="BL179:BL183"/>
    <mergeCell ref="BM179:BM183"/>
    <mergeCell ref="BO179:BO183"/>
    <mergeCell ref="BP179:BP183"/>
    <mergeCell ref="BR179:BR183"/>
    <mergeCell ref="BS179:BS183"/>
    <mergeCell ref="BB179:BB183"/>
    <mergeCell ref="BD179:BD183"/>
    <mergeCell ref="BE179:BE183"/>
    <mergeCell ref="BG179:BG183"/>
    <mergeCell ref="AH184:AH186"/>
    <mergeCell ref="AJ184:AJ186"/>
    <mergeCell ref="AK184:AK186"/>
    <mergeCell ref="AM184:AM186"/>
    <mergeCell ref="AN184:AN186"/>
    <mergeCell ref="AY184:AY186"/>
    <mergeCell ref="BA184:BA186"/>
    <mergeCell ref="BB184:BB186"/>
    <mergeCell ref="BD184:BD186"/>
    <mergeCell ref="BE184:BE186"/>
    <mergeCell ref="BG184:BG186"/>
    <mergeCell ref="AP184:AP186"/>
    <mergeCell ref="AQ184:AQ186"/>
    <mergeCell ref="AS184:AS186"/>
    <mergeCell ref="AT184:AT186"/>
    <mergeCell ref="AV184:AV186"/>
    <mergeCell ref="AX184:AX186"/>
    <mergeCell ref="CJ184:CJ186"/>
    <mergeCell ref="BH184:BH186"/>
    <mergeCell ref="BJ184:BJ186"/>
    <mergeCell ref="BL184:BL186"/>
    <mergeCell ref="BM184:BM186"/>
    <mergeCell ref="BO184:BO186"/>
    <mergeCell ref="BP184:BP186"/>
    <mergeCell ref="CL184:CL186"/>
    <mergeCell ref="CA184:CA186"/>
    <mergeCell ref="CC184:CC186"/>
    <mergeCell ref="CD184:CD186"/>
    <mergeCell ref="CF184:CF186"/>
    <mergeCell ref="CG184:CG186"/>
    <mergeCell ref="CI184:CI186"/>
    <mergeCell ref="BR184:BR186"/>
    <mergeCell ref="BS184:BS186"/>
    <mergeCell ref="BU184:BU186"/>
    <mergeCell ref="BV184:BV186"/>
    <mergeCell ref="BX184:BX186"/>
    <mergeCell ref="BZ184:BZ186"/>
    <mergeCell ref="CF187:CF189"/>
    <mergeCell ref="CG187:CG189"/>
    <mergeCell ref="CI187:CI189"/>
    <mergeCell ref="CJ187:CJ189"/>
    <mergeCell ref="BS187:BS189"/>
    <mergeCell ref="BU187:BU189"/>
    <mergeCell ref="BV187:BV189"/>
    <mergeCell ref="BZ187:BZ189"/>
    <mergeCell ref="CA187:CA189"/>
    <mergeCell ref="CC187:CC189"/>
    <mergeCell ref="CD187:CD189"/>
    <mergeCell ref="BH187:BH189"/>
    <mergeCell ref="BL187:BL189"/>
    <mergeCell ref="BM187:BM189"/>
    <mergeCell ref="BO187:BO189"/>
    <mergeCell ref="BP187:BP189"/>
    <mergeCell ref="BR187:BR189"/>
    <mergeCell ref="AY187:AY189"/>
    <mergeCell ref="BA187:BA189"/>
    <mergeCell ref="BB187:BB189"/>
    <mergeCell ref="BD187:BD189"/>
    <mergeCell ref="BE187:BE189"/>
    <mergeCell ref="BG187:BG189"/>
    <mergeCell ref="AN187:AN189"/>
    <mergeCell ref="AP187:AP189"/>
    <mergeCell ref="AQ187:AQ189"/>
    <mergeCell ref="AS187:AS189"/>
    <mergeCell ref="AT187:AT189"/>
    <mergeCell ref="AX187:AX189"/>
    <mergeCell ref="AJ187:AJ189"/>
    <mergeCell ref="AK187:AK189"/>
    <mergeCell ref="AM187:AM189"/>
    <mergeCell ref="BZ190:BZ192"/>
    <mergeCell ref="CA190:CA192"/>
    <mergeCell ref="CC190:CC192"/>
    <mergeCell ref="CD190:CD192"/>
    <mergeCell ref="CF190:CF192"/>
    <mergeCell ref="CG190:CG192"/>
    <mergeCell ref="BO190:BO192"/>
    <mergeCell ref="BP190:BP192"/>
    <mergeCell ref="BR190:BR192"/>
    <mergeCell ref="BS190:BS192"/>
    <mergeCell ref="BU190:BU192"/>
    <mergeCell ref="BV190:BV192"/>
    <mergeCell ref="BE190:BE192"/>
    <mergeCell ref="BG190:BG192"/>
    <mergeCell ref="BH190:BH192"/>
    <mergeCell ref="BL190:BL192"/>
    <mergeCell ref="BM190:BM192"/>
    <mergeCell ref="AH220:AH222"/>
    <mergeCell ref="AX220:AX222"/>
    <mergeCell ref="AS190:AS192"/>
    <mergeCell ref="AT190:AT192"/>
    <mergeCell ref="AJ190:AJ192"/>
    <mergeCell ref="AK190:AK192"/>
    <mergeCell ref="AM190:AM192"/>
    <mergeCell ref="AN190:AN192"/>
    <mergeCell ref="AP190:AP192"/>
    <mergeCell ref="AQ190:AQ192"/>
    <mergeCell ref="CJ190:CJ192"/>
    <mergeCell ref="AX190:AX192"/>
    <mergeCell ref="AY190:AY192"/>
    <mergeCell ref="BA190:BA192"/>
    <mergeCell ref="BB190:BB192"/>
    <mergeCell ref="CL220:CL222"/>
    <mergeCell ref="BU220:BU222"/>
    <mergeCell ref="BV220:BV222"/>
    <mergeCell ref="BX220:BX222"/>
    <mergeCell ref="BZ220:BZ222"/>
    <mergeCell ref="CA220:CA222"/>
    <mergeCell ref="CC220:CC222"/>
    <mergeCell ref="CD220:CD222"/>
    <mergeCell ref="AY220:AY222"/>
    <mergeCell ref="BA220:BA222"/>
    <mergeCell ref="CF220:CF222"/>
    <mergeCell ref="BL220:BL222"/>
    <mergeCell ref="BM220:BM222"/>
    <mergeCell ref="BO220:BO222"/>
    <mergeCell ref="BP220:BP222"/>
    <mergeCell ref="BR220:BR222"/>
    <mergeCell ref="BS220:BS222"/>
    <mergeCell ref="BB220:BB222"/>
    <mergeCell ref="BD190:BD192"/>
    <mergeCell ref="H86:H89"/>
    <mergeCell ref="H91:H93"/>
    <mergeCell ref="D104:D105"/>
    <mergeCell ref="D78:D80"/>
    <mergeCell ref="E99:E103"/>
    <mergeCell ref="CG220:CG222"/>
    <mergeCell ref="CI220:CI222"/>
    <mergeCell ref="CJ220:CJ222"/>
    <mergeCell ref="AJ220:AJ222"/>
    <mergeCell ref="AK220:AK222"/>
    <mergeCell ref="AM220:AM222"/>
    <mergeCell ref="AN220:AN222"/>
    <mergeCell ref="AP220:AP222"/>
    <mergeCell ref="AQ220:AQ222"/>
    <mergeCell ref="AS220:AS222"/>
    <mergeCell ref="AT220:AT222"/>
    <mergeCell ref="AV220:AV222"/>
    <mergeCell ref="BD220:BD222"/>
    <mergeCell ref="BE220:BE222"/>
    <mergeCell ref="BG220:BG222"/>
    <mergeCell ref="BH220:BH222"/>
    <mergeCell ref="BJ220:BJ222"/>
    <mergeCell ref="CI190:CI192"/>
    <mergeCell ref="W86:W89"/>
    <mergeCell ref="AF86:AF89"/>
    <mergeCell ref="I91:I93"/>
    <mergeCell ref="O91:O93"/>
    <mergeCell ref="P91:P93"/>
    <mergeCell ref="W91:W93"/>
    <mergeCell ref="Y91:Y93"/>
    <mergeCell ref="AD91:AD93"/>
    <mergeCell ref="AF91:AF93"/>
    <mergeCell ref="V91:V93"/>
    <mergeCell ref="AC91:AC93"/>
    <mergeCell ref="V86:V89"/>
    <mergeCell ref="AC86:AC89"/>
    <mergeCell ref="K86:K89"/>
    <mergeCell ref="K91:K93"/>
    <mergeCell ref="I86:I89"/>
    <mergeCell ref="O86:O89"/>
    <mergeCell ref="P86:P89"/>
    <mergeCell ref="X86:X89"/>
    <mergeCell ref="Z86:Z89"/>
    <mergeCell ref="X91:X93"/>
    <mergeCell ref="Z91:Z93"/>
    <mergeCell ref="Q86:Q89"/>
    <mergeCell ref="R86:R89"/>
    <mergeCell ref="S86:S89"/>
    <mergeCell ref="R91:R93"/>
    <mergeCell ref="S91:S93"/>
    <mergeCell ref="Q91:Q93"/>
    <mergeCell ref="Y86:Y89"/>
    <mergeCell ref="AD86:AD89"/>
    <mergeCell ref="W14:X14"/>
    <mergeCell ref="AD14:AE14"/>
    <mergeCell ref="R14:T14"/>
    <mergeCell ref="T86:T89"/>
    <mergeCell ref="T91:T93"/>
    <mergeCell ref="Y14:AA14"/>
    <mergeCell ref="AA86:AA89"/>
    <mergeCell ref="AA91:AA93"/>
  </mergeCells>
  <conditionalFormatting sqref="AM187:AM189 AJ187:AJ189 AP187:AP189 AS179:AS183 AS220:AS222 BA187:BA189 AX187:AX189 BD187:BD189 BG179:BG183 BG220:BG222 BO187:BO189 BL187:BL189 BR187:BR189 BU179:BU183 BU220:BU222 CC187:CC189 BZ187:BZ189 CF187:CF189 CI179:CI183 CI220:CI222 BA16:BA65 AJ16:AJ65 AP16:AP65 AS16:AS38 AX16:AX65 BD16:BD65 BG16:BG65 BL16:BL65 BR16:BR65 BU16:BU38 BZ16:BZ65 CF16:CF65 CI16:CI38 AM16:AM65 BO16:BO65 CC16:CC65 AP111:AP177 AS111:AS177 AJ111:AJ177 AM111:AM177 BA111:BA177 AX111:AX177 BD111:BD177 BG108:BG177 BZ111:BZ177 BO111:BO177 BL111:BL177 BR111:BR177 BU108:BU177 CC111:CC177 CF111:CF177 CI108:CI177">
    <cfRule type="expression" dxfId="11964" priority="21309" stopIfTrue="1">
      <formula>AND(IF(AJ16&gt;=#REF!,AJ16&lt;&gt;"N/A"))</formula>
    </cfRule>
    <cfRule type="expression" dxfId="11963" priority="21310" stopIfTrue="1">
      <formula>AND(IF(AJ16&lt;#REF!,AJ16&gt;=#REF!,AJ16&lt;&gt;"N/A"))</formula>
    </cfRule>
    <cfRule type="expression" dxfId="11962" priority="21311" stopIfTrue="1">
      <formula>AND(IF(AJ16&lt;#REF!,AJ16&lt;&gt;"N/A"))</formula>
    </cfRule>
  </conditionalFormatting>
  <conditionalFormatting sqref="H37 AJ184:AJ186 AP184:AP186 AS184:AS186 AJ223 AP223 AS223 AX184:AX186 BD184:BD186 BG184:BG186 AX223 BD223 BG223 BL184:BL186 BR184:BR186 BU184:BU186 BL223 BR223 BU223 BZ184:BZ186 CF184:CF186 CI184:CI186 BZ223 CF223 CI223">
    <cfRule type="expression" dxfId="11961" priority="21312" stopIfTrue="1">
      <formula>AND(IF(H37&gt;=#REF!,H37&lt;&gt;"N/A"))</formula>
    </cfRule>
    <cfRule type="expression" dxfId="11960" priority="21313" stopIfTrue="1">
      <formula>AND(IF(H37&lt;#REF!,H37&gt;=#REF!,H37&lt;&gt;"N/A"))</formula>
    </cfRule>
    <cfRule type="expression" dxfId="11959" priority="21314" stopIfTrue="1">
      <formula>AND(IF(H37&lt;#REF!,H37&lt;&gt;"N/A"))</formula>
    </cfRule>
  </conditionalFormatting>
  <conditionalFormatting sqref="AP179:AP183 AM179:AM183 BD179:BD183 BA179:BA183 BR179:BR183 BO179:BO183 CF179:CF183 CC179:CC183">
    <cfRule type="expression" dxfId="11958" priority="21303" stopIfTrue="1">
      <formula>AND(IF(AM179&gt;=#REF!,AM179&lt;&gt;"N/A"))</formula>
    </cfRule>
    <cfRule type="expression" dxfId="11957" priority="21304" stopIfTrue="1">
      <formula>AND(IF(AM179&lt;#REF!,AM179&gt;=#REF!,AM179&lt;&gt;"N/A"))</formula>
    </cfRule>
    <cfRule type="expression" dxfId="11956" priority="21305" stopIfTrue="1">
      <formula>AND(IF(AM179&lt;#REF!,AM179&lt;&gt;"N/A"))</formula>
    </cfRule>
  </conditionalFormatting>
  <conditionalFormatting sqref="AS39:AS65">
    <cfRule type="expression" dxfId="11955" priority="21252" stopIfTrue="1">
      <formula>AND(IF(AS39&gt;=#REF!,AS39&lt;&gt;"N/A"))</formula>
    </cfRule>
    <cfRule type="expression" dxfId="11954" priority="21253" stopIfTrue="1">
      <formula>AND(IF(AS39&lt;#REF!,AS39&gt;=#REF!,AS39&lt;&gt;"N/A"))</formula>
    </cfRule>
    <cfRule type="expression" dxfId="11953" priority="21254" stopIfTrue="1">
      <formula>AND(IF(AS39&lt;#REF!,AS39&lt;&gt;"N/A"))</formula>
    </cfRule>
  </conditionalFormatting>
  <conditionalFormatting sqref="AJ15">
    <cfRule type="expression" dxfId="11952" priority="21258" stopIfTrue="1">
      <formula>AND(IF(AJ15&gt;=#REF!,AJ15&lt;&gt;"N/A"))</formula>
    </cfRule>
    <cfRule type="expression" dxfId="11951" priority="21259" stopIfTrue="1">
      <formula>AND(IF(AJ15&lt;#REF!,AJ15&gt;=#REF!,AJ15&lt;&gt;"N/A"))</formula>
    </cfRule>
    <cfRule type="expression" dxfId="11950" priority="21260" stopIfTrue="1">
      <formula>AND(IF(AJ15&lt;#REF!,AJ15&lt;&gt;"N/A"))</formula>
    </cfRule>
  </conditionalFormatting>
  <conditionalFormatting sqref="AS187:AS189 AJ190:AJ218">
    <cfRule type="expression" dxfId="11949" priority="21240" stopIfTrue="1">
      <formula>AND(IF(AJ187&gt;=#REF!,AJ187&lt;&gt;"N/A"))</formula>
    </cfRule>
    <cfRule type="expression" dxfId="11948" priority="21241" stopIfTrue="1">
      <formula>AND(IF(AJ187&lt;#REF!,AJ187&gt;=#REF!,AJ187&lt;&gt;"N/A"))</formula>
    </cfRule>
    <cfRule type="expression" dxfId="11947" priority="21242" stopIfTrue="1">
      <formula>AND(IF(AJ187&lt;#REF!,AJ187&lt;&gt;"N/A"))</formula>
    </cfRule>
  </conditionalFormatting>
  <conditionalFormatting sqref="AM184:AM186">
    <cfRule type="expression" dxfId="11946" priority="21243" stopIfTrue="1">
      <formula>AND(IF(AM184&gt;=#REF!,AM184&lt;&gt;"N/A"))</formula>
    </cfRule>
    <cfRule type="expression" dxfId="11945" priority="21244" stopIfTrue="1">
      <formula>AND(IF(AM184&lt;#REF!,AM184&gt;=#REF!,AM184&lt;&gt;"N/A"))</formula>
    </cfRule>
    <cfRule type="expression" dxfId="11944" priority="21245" stopIfTrue="1">
      <formula>AND(IF(AM184&lt;#REF!,AM184&lt;&gt;"N/A"))</formula>
    </cfRule>
  </conditionalFormatting>
  <conditionalFormatting sqref="AJ179:AJ183">
    <cfRule type="expression" dxfId="11943" priority="21246" stopIfTrue="1">
      <formula>AND(IF(AJ179&gt;=#REF!,AJ179&lt;&gt;"N/A"))</formula>
    </cfRule>
    <cfRule type="expression" dxfId="11942" priority="21247" stopIfTrue="1">
      <formula>AND(IF(AJ179&lt;#REF!,AJ179&gt;=#REF!,AJ179&lt;&gt;"N/A"))</formula>
    </cfRule>
    <cfRule type="expression" dxfId="11941" priority="21248" stopIfTrue="1">
      <formula>AND(IF(AJ179&lt;#REF!,AJ179&lt;&gt;"N/A"))</formula>
    </cfRule>
  </conditionalFormatting>
  <conditionalFormatting sqref="AM223">
    <cfRule type="expression" dxfId="11940" priority="21234" stopIfTrue="1">
      <formula>AND(IF(AM223&gt;=#REF!,AM223&lt;&gt;"N/A"))</formula>
    </cfRule>
    <cfRule type="expression" dxfId="11939" priority="21235" stopIfTrue="1">
      <formula>AND(IF(AM223&lt;#REF!,AM223&gt;=#REF!,AM223&lt;&gt;"N/A"))</formula>
    </cfRule>
    <cfRule type="expression" dxfId="11938" priority="21236" stopIfTrue="1">
      <formula>AND(IF(AM223&lt;#REF!,AM223&lt;&gt;"N/A"))</formula>
    </cfRule>
  </conditionalFormatting>
  <conditionalFormatting sqref="AJ220:AJ222">
    <cfRule type="expression" dxfId="11937" priority="21237" stopIfTrue="1">
      <formula>AND(IF(AJ220&gt;=#REF!,AJ220&lt;&gt;"N/A"))</formula>
    </cfRule>
    <cfRule type="expression" dxfId="11936" priority="21238" stopIfTrue="1">
      <formula>AND(IF(AJ220&lt;#REF!,AJ220&gt;=#REF!,AJ220&lt;&gt;"N/A"))</formula>
    </cfRule>
    <cfRule type="expression" dxfId="11935" priority="21239" stopIfTrue="1">
      <formula>AND(IF(AJ220&lt;#REF!,AJ220&lt;&gt;"N/A"))</formula>
    </cfRule>
  </conditionalFormatting>
  <conditionalFormatting sqref="AJ108:AJ110">
    <cfRule type="expression" dxfId="11934" priority="21228" stopIfTrue="1">
      <formula>AND(IF(AJ108&gt;=#REF!,AJ108&lt;&gt;"N/A"))</formula>
    </cfRule>
    <cfRule type="expression" dxfId="11933" priority="21229" stopIfTrue="1">
      <formula>AND(IF(AJ108&lt;#REF!,AJ108&gt;=#REF!,AJ108&lt;&gt;"N/A"))</formula>
    </cfRule>
    <cfRule type="expression" dxfId="11932" priority="21230" stopIfTrue="1">
      <formula>AND(IF(AJ108&lt;#REF!,AJ108&lt;&gt;"N/A"))</formula>
    </cfRule>
  </conditionalFormatting>
  <conditionalFormatting sqref="AS15">
    <cfRule type="expression" dxfId="11931" priority="21225" stopIfTrue="1">
      <formula>AND(IF(AS15&gt;=#REF!,AS15&lt;&gt;"N/A"))</formula>
    </cfRule>
    <cfRule type="expression" dxfId="11930" priority="21226" stopIfTrue="1">
      <formula>AND(IF(AS15&lt;#REF!,AS15&gt;=#REF!,AS15&lt;&gt;"N/A"))</formula>
    </cfRule>
    <cfRule type="expression" dxfId="11929" priority="21227" stopIfTrue="1">
      <formula>AND(IF(AS15&lt;#REF!,AS15&lt;&gt;"N/A"))</formula>
    </cfRule>
  </conditionalFormatting>
  <conditionalFormatting sqref="AM108:AM110">
    <cfRule type="expression" dxfId="11928" priority="21222" stopIfTrue="1">
      <formula>AND(IF(AM108&gt;=#REF!,AM108&lt;&gt;"N/A"))</formula>
    </cfRule>
    <cfRule type="expression" dxfId="11927" priority="21223" stopIfTrue="1">
      <formula>AND(IF(AM108&lt;#REF!,AM108&gt;=#REF!,AM108&lt;&gt;"N/A"))</formula>
    </cfRule>
    <cfRule type="expression" dxfId="11926" priority="21224" stopIfTrue="1">
      <formula>AND(IF(AM108&lt;#REF!,AM108&lt;&gt;"N/A"))</formula>
    </cfRule>
  </conditionalFormatting>
  <conditionalFormatting sqref="AP108:AP110">
    <cfRule type="expression" dxfId="11925" priority="21219" stopIfTrue="1">
      <formula>AND(IF(AP108&gt;=#REF!,AP108&lt;&gt;"N/A"))</formula>
    </cfRule>
    <cfRule type="expression" dxfId="11924" priority="21220" stopIfTrue="1">
      <formula>AND(IF(AP108&lt;#REF!,AP108&gt;=#REF!,AP108&lt;&gt;"N/A"))</formula>
    </cfRule>
    <cfRule type="expression" dxfId="11923" priority="21221" stopIfTrue="1">
      <formula>AND(IF(AP108&lt;#REF!,AP108&lt;&gt;"N/A"))</formula>
    </cfRule>
  </conditionalFormatting>
  <conditionalFormatting sqref="AS108:AS110">
    <cfRule type="expression" dxfId="11922" priority="21216" stopIfTrue="1">
      <formula>AND(IF(AS108&gt;=#REF!,AS108&lt;&gt;"N/A"))</formula>
    </cfRule>
    <cfRule type="expression" dxfId="11921" priority="21217" stopIfTrue="1">
      <formula>AND(IF(AS108&lt;#REF!,AS108&gt;=#REF!,AS108&lt;&gt;"N/A"))</formula>
    </cfRule>
    <cfRule type="expression" dxfId="11920" priority="21218" stopIfTrue="1">
      <formula>AND(IF(AS108&lt;#REF!,AS108&lt;&gt;"N/A"))</formula>
    </cfRule>
  </conditionalFormatting>
  <conditionalFormatting sqref="AX15">
    <cfRule type="expression" dxfId="11919" priority="21201" stopIfTrue="1">
      <formula>AND(IF(AX15&gt;=#REF!,AX15&lt;&gt;"N/A"))</formula>
    </cfRule>
    <cfRule type="expression" dxfId="11918" priority="21202" stopIfTrue="1">
      <formula>AND(IF(AX15&lt;#REF!,AX15&gt;=#REF!,AX15&lt;&gt;"N/A"))</formula>
    </cfRule>
    <cfRule type="expression" dxfId="11917" priority="21203" stopIfTrue="1">
      <formula>AND(IF(AX15&lt;#REF!,AX15&lt;&gt;"N/A"))</formula>
    </cfRule>
  </conditionalFormatting>
  <conditionalFormatting sqref="BG187:BG189 AX190:AX218">
    <cfRule type="expression" dxfId="11916" priority="21183" stopIfTrue="1">
      <formula>AND(IF(AX187&gt;=#REF!,AX187&lt;&gt;"N/A"))</formula>
    </cfRule>
    <cfRule type="expression" dxfId="11915" priority="21184" stopIfTrue="1">
      <formula>AND(IF(AX187&lt;#REF!,AX187&gt;=#REF!,AX187&lt;&gt;"N/A"))</formula>
    </cfRule>
    <cfRule type="expression" dxfId="11914" priority="21185" stopIfTrue="1">
      <formula>AND(IF(AX187&lt;#REF!,AX187&lt;&gt;"N/A"))</formula>
    </cfRule>
  </conditionalFormatting>
  <conditionalFormatting sqref="BA184:BA186 BU39:BU65 CI39:CI65">
    <cfRule type="expression" dxfId="11913" priority="21186" stopIfTrue="1">
      <formula>AND(IF(BA39&gt;=#REF!,BA39&lt;&gt;"N/A"))</formula>
    </cfRule>
    <cfRule type="expression" dxfId="11912" priority="21187" stopIfTrue="1">
      <formula>AND(IF(BA39&lt;#REF!,BA39&gt;=#REF!,BA39&lt;&gt;"N/A"))</formula>
    </cfRule>
    <cfRule type="expression" dxfId="11911" priority="21188" stopIfTrue="1">
      <formula>AND(IF(BA39&lt;#REF!,BA39&lt;&gt;"N/A"))</formula>
    </cfRule>
  </conditionalFormatting>
  <conditionalFormatting sqref="AX179:AX183">
    <cfRule type="expression" dxfId="11910" priority="21189" stopIfTrue="1">
      <formula>AND(IF(AX179&gt;=#REF!,AX179&lt;&gt;"N/A"))</formula>
    </cfRule>
    <cfRule type="expression" dxfId="11909" priority="21190" stopIfTrue="1">
      <formula>AND(IF(AX179&lt;#REF!,AX179&gt;=#REF!,AX179&lt;&gt;"N/A"))</formula>
    </cfRule>
    <cfRule type="expression" dxfId="11908" priority="21191" stopIfTrue="1">
      <formula>AND(IF(AX179&lt;#REF!,AX179&lt;&gt;"N/A"))</formula>
    </cfRule>
  </conditionalFormatting>
  <conditionalFormatting sqref="BA223">
    <cfRule type="expression" dxfId="11907" priority="21177" stopIfTrue="1">
      <formula>AND(IF(BA223&gt;=#REF!,BA223&lt;&gt;"N/A"))</formula>
    </cfRule>
    <cfRule type="expression" dxfId="11906" priority="21178" stopIfTrue="1">
      <formula>AND(IF(BA223&lt;#REF!,BA223&gt;=#REF!,BA223&lt;&gt;"N/A"))</formula>
    </cfRule>
    <cfRule type="expression" dxfId="11905" priority="21179" stopIfTrue="1">
      <formula>AND(IF(BA223&lt;#REF!,BA223&lt;&gt;"N/A"))</formula>
    </cfRule>
  </conditionalFormatting>
  <conditionalFormatting sqref="AX220:AX222">
    <cfRule type="expression" dxfId="11904" priority="21180" stopIfTrue="1">
      <formula>AND(IF(AX220&gt;=#REF!,AX220&lt;&gt;"N/A"))</formula>
    </cfRule>
    <cfRule type="expression" dxfId="11903" priority="21181" stopIfTrue="1">
      <formula>AND(IF(AX220&lt;#REF!,AX220&gt;=#REF!,AX220&lt;&gt;"N/A"))</formula>
    </cfRule>
    <cfRule type="expression" dxfId="11902" priority="21182" stopIfTrue="1">
      <formula>AND(IF(AX220&lt;#REF!,AX220&lt;&gt;"N/A"))</formula>
    </cfRule>
  </conditionalFormatting>
  <conditionalFormatting sqref="AX108:AX110">
    <cfRule type="expression" dxfId="11901" priority="21171" stopIfTrue="1">
      <formula>AND(IF(AX108&gt;=#REF!,AX108&lt;&gt;"N/A"))</formula>
    </cfRule>
    <cfRule type="expression" dxfId="11900" priority="21172" stopIfTrue="1">
      <formula>AND(IF(AX108&lt;#REF!,AX108&gt;=#REF!,AX108&lt;&gt;"N/A"))</formula>
    </cfRule>
    <cfRule type="expression" dxfId="11899" priority="21173" stopIfTrue="1">
      <formula>AND(IF(AX108&lt;#REF!,AX108&lt;&gt;"N/A"))</formula>
    </cfRule>
  </conditionalFormatting>
  <conditionalFormatting sqref="BG15">
    <cfRule type="expression" dxfId="11898" priority="21168" stopIfTrue="1">
      <formula>AND(IF(BG15&gt;=#REF!,BG15&lt;&gt;"N/A"))</formula>
    </cfRule>
    <cfRule type="expression" dxfId="11897" priority="21169" stopIfTrue="1">
      <formula>AND(IF(BG15&lt;#REF!,BG15&gt;=#REF!,BG15&lt;&gt;"N/A"))</formula>
    </cfRule>
    <cfRule type="expression" dxfId="11896" priority="21170" stopIfTrue="1">
      <formula>AND(IF(BG15&lt;#REF!,BG15&lt;&gt;"N/A"))</formula>
    </cfRule>
  </conditionalFormatting>
  <conditionalFormatting sqref="BA108:BA110">
    <cfRule type="expression" dxfId="11895" priority="21165" stopIfTrue="1">
      <formula>AND(IF(BA108&gt;=#REF!,BA108&lt;&gt;"N/A"))</formula>
    </cfRule>
    <cfRule type="expression" dxfId="11894" priority="21166" stopIfTrue="1">
      <formula>AND(IF(BA108&lt;#REF!,BA108&gt;=#REF!,BA108&lt;&gt;"N/A"))</formula>
    </cfRule>
    <cfRule type="expression" dxfId="11893" priority="21167" stopIfTrue="1">
      <formula>AND(IF(BA108&lt;#REF!,BA108&lt;&gt;"N/A"))</formula>
    </cfRule>
  </conditionalFormatting>
  <conditionalFormatting sqref="BD108:BD110">
    <cfRule type="expression" dxfId="11892" priority="21162" stopIfTrue="1">
      <formula>AND(IF(BD108&gt;=#REF!,BD108&lt;&gt;"N/A"))</formula>
    </cfRule>
    <cfRule type="expression" dxfId="11891" priority="21163" stopIfTrue="1">
      <formula>AND(IF(BD108&lt;#REF!,BD108&gt;=#REF!,BD108&lt;&gt;"N/A"))</formula>
    </cfRule>
    <cfRule type="expression" dxfId="11890" priority="21164" stopIfTrue="1">
      <formula>AND(IF(BD108&lt;#REF!,BD108&lt;&gt;"N/A"))</formula>
    </cfRule>
  </conditionalFormatting>
  <conditionalFormatting sqref="BL15">
    <cfRule type="expression" dxfId="11889" priority="21144" stopIfTrue="1">
      <formula>AND(IF(BL15&gt;=#REF!,BL15&lt;&gt;"N/A"))</formula>
    </cfRule>
    <cfRule type="expression" dxfId="11888" priority="21145" stopIfTrue="1">
      <formula>AND(IF(BL15&lt;#REF!,BL15&gt;=#REF!,BL15&lt;&gt;"N/A"))</formula>
    </cfRule>
    <cfRule type="expression" dxfId="11887" priority="21146" stopIfTrue="1">
      <formula>AND(IF(BL15&lt;#REF!,BL15&lt;&gt;"N/A"))</formula>
    </cfRule>
  </conditionalFormatting>
  <conditionalFormatting sqref="BU187:BU189 BL190:BL218">
    <cfRule type="expression" dxfId="11886" priority="21126" stopIfTrue="1">
      <formula>AND(IF(BL187&gt;=#REF!,BL187&lt;&gt;"N/A"))</formula>
    </cfRule>
    <cfRule type="expression" dxfId="11885" priority="21127" stopIfTrue="1">
      <formula>AND(IF(BL187&lt;#REF!,BL187&gt;=#REF!,BL187&lt;&gt;"N/A"))</formula>
    </cfRule>
    <cfRule type="expression" dxfId="11884" priority="21128" stopIfTrue="1">
      <formula>AND(IF(BL187&lt;#REF!,BL187&lt;&gt;"N/A"))</formula>
    </cfRule>
  </conditionalFormatting>
  <conditionalFormatting sqref="BO184:BO186">
    <cfRule type="expression" dxfId="11883" priority="21129" stopIfTrue="1">
      <formula>AND(IF(BO184&gt;=#REF!,BO184&lt;&gt;"N/A"))</formula>
    </cfRule>
    <cfRule type="expression" dxfId="11882" priority="21130" stopIfTrue="1">
      <formula>AND(IF(BO184&lt;#REF!,BO184&gt;=#REF!,BO184&lt;&gt;"N/A"))</formula>
    </cfRule>
    <cfRule type="expression" dxfId="11881" priority="21131" stopIfTrue="1">
      <formula>AND(IF(BO184&lt;#REF!,BO184&lt;&gt;"N/A"))</formula>
    </cfRule>
  </conditionalFormatting>
  <conditionalFormatting sqref="BL179:BL183">
    <cfRule type="expression" dxfId="11880" priority="21132" stopIfTrue="1">
      <formula>AND(IF(BL179&gt;=#REF!,BL179&lt;&gt;"N/A"))</formula>
    </cfRule>
    <cfRule type="expression" dxfId="11879" priority="21133" stopIfTrue="1">
      <formula>AND(IF(BL179&lt;#REF!,BL179&gt;=#REF!,BL179&lt;&gt;"N/A"))</formula>
    </cfRule>
    <cfRule type="expression" dxfId="11878" priority="21134" stopIfTrue="1">
      <formula>AND(IF(BL179&lt;#REF!,BL179&lt;&gt;"N/A"))</formula>
    </cfRule>
  </conditionalFormatting>
  <conditionalFormatting sqref="BO223">
    <cfRule type="expression" dxfId="11877" priority="21120" stopIfTrue="1">
      <formula>AND(IF(BO223&gt;=#REF!,BO223&lt;&gt;"N/A"))</formula>
    </cfRule>
    <cfRule type="expression" dxfId="11876" priority="21121" stopIfTrue="1">
      <formula>AND(IF(BO223&lt;#REF!,BO223&gt;=#REF!,BO223&lt;&gt;"N/A"))</formula>
    </cfRule>
    <cfRule type="expression" dxfId="11875" priority="21122" stopIfTrue="1">
      <formula>AND(IF(BO223&lt;#REF!,BO223&lt;&gt;"N/A"))</formula>
    </cfRule>
  </conditionalFormatting>
  <conditionalFormatting sqref="BL220:BL222">
    <cfRule type="expression" dxfId="11874" priority="21123" stopIfTrue="1">
      <formula>AND(IF(BL220&gt;=#REF!,BL220&lt;&gt;"N/A"))</formula>
    </cfRule>
    <cfRule type="expression" dxfId="11873" priority="21124" stopIfTrue="1">
      <formula>AND(IF(BL220&lt;#REF!,BL220&gt;=#REF!,BL220&lt;&gt;"N/A"))</formula>
    </cfRule>
    <cfRule type="expression" dxfId="11872" priority="21125" stopIfTrue="1">
      <formula>AND(IF(BL220&lt;#REF!,BL220&lt;&gt;"N/A"))</formula>
    </cfRule>
  </conditionalFormatting>
  <conditionalFormatting sqref="BL108:BL110">
    <cfRule type="expression" dxfId="11871" priority="21114" stopIfTrue="1">
      <formula>AND(IF(BL108&gt;=#REF!,BL108&lt;&gt;"N/A"))</formula>
    </cfRule>
    <cfRule type="expression" dxfId="11870" priority="21115" stopIfTrue="1">
      <formula>AND(IF(BL108&lt;#REF!,BL108&gt;=#REF!,BL108&lt;&gt;"N/A"))</formula>
    </cfRule>
    <cfRule type="expression" dxfId="11869" priority="21116" stopIfTrue="1">
      <formula>AND(IF(BL108&lt;#REF!,BL108&lt;&gt;"N/A"))</formula>
    </cfRule>
  </conditionalFormatting>
  <conditionalFormatting sqref="BU15">
    <cfRule type="expression" dxfId="11868" priority="21111" stopIfTrue="1">
      <formula>AND(IF(BU15&gt;=#REF!,BU15&lt;&gt;"N/A"))</formula>
    </cfRule>
    <cfRule type="expression" dxfId="11867" priority="21112" stopIfTrue="1">
      <formula>AND(IF(BU15&lt;#REF!,BU15&gt;=#REF!,BU15&lt;&gt;"N/A"))</formula>
    </cfRule>
    <cfRule type="expression" dxfId="11866" priority="21113" stopIfTrue="1">
      <formula>AND(IF(BU15&lt;#REF!,BU15&lt;&gt;"N/A"))</formula>
    </cfRule>
  </conditionalFormatting>
  <conditionalFormatting sqref="BO108:BO110">
    <cfRule type="expression" dxfId="11865" priority="21108" stopIfTrue="1">
      <formula>AND(IF(BO108&gt;=#REF!,BO108&lt;&gt;"N/A"))</formula>
    </cfRule>
    <cfRule type="expression" dxfId="11864" priority="21109" stopIfTrue="1">
      <formula>AND(IF(BO108&lt;#REF!,BO108&gt;=#REF!,BO108&lt;&gt;"N/A"))</formula>
    </cfRule>
    <cfRule type="expression" dxfId="11863" priority="21110" stopIfTrue="1">
      <formula>AND(IF(BO108&lt;#REF!,BO108&lt;&gt;"N/A"))</formula>
    </cfRule>
  </conditionalFormatting>
  <conditionalFormatting sqref="BR108:BR110">
    <cfRule type="expression" dxfId="11862" priority="21105" stopIfTrue="1">
      <formula>AND(IF(BR108&gt;=#REF!,BR108&lt;&gt;"N/A"))</formula>
    </cfRule>
    <cfRule type="expression" dxfId="11861" priority="21106" stopIfTrue="1">
      <formula>AND(IF(BR108&lt;#REF!,BR108&gt;=#REF!,BR108&lt;&gt;"N/A"))</formula>
    </cfRule>
    <cfRule type="expression" dxfId="11860" priority="21107" stopIfTrue="1">
      <formula>AND(IF(BR108&lt;#REF!,BR108&lt;&gt;"N/A"))</formula>
    </cfRule>
  </conditionalFormatting>
  <conditionalFormatting sqref="BZ15">
    <cfRule type="expression" dxfId="11859" priority="21087" stopIfTrue="1">
      <formula>AND(IF(BZ15&gt;=#REF!,BZ15&lt;&gt;"N/A"))</formula>
    </cfRule>
    <cfRule type="expression" dxfId="11858" priority="21088" stopIfTrue="1">
      <formula>AND(IF(BZ15&lt;#REF!,BZ15&gt;=#REF!,BZ15&lt;&gt;"N/A"))</formula>
    </cfRule>
    <cfRule type="expression" dxfId="11857" priority="21089" stopIfTrue="1">
      <formula>AND(IF(BZ15&lt;#REF!,BZ15&lt;&gt;"N/A"))</formula>
    </cfRule>
  </conditionalFormatting>
  <conditionalFormatting sqref="CI187:CI189 BZ190:BZ218">
    <cfRule type="expression" dxfId="11856" priority="21069" stopIfTrue="1">
      <formula>AND(IF(BZ187&gt;=#REF!,BZ187&lt;&gt;"N/A"))</formula>
    </cfRule>
    <cfRule type="expression" dxfId="11855" priority="21070" stopIfTrue="1">
      <formula>AND(IF(BZ187&lt;#REF!,BZ187&gt;=#REF!,BZ187&lt;&gt;"N/A"))</formula>
    </cfRule>
    <cfRule type="expression" dxfId="11854" priority="21071" stopIfTrue="1">
      <formula>AND(IF(BZ187&lt;#REF!,BZ187&lt;&gt;"N/A"))</formula>
    </cfRule>
  </conditionalFormatting>
  <conditionalFormatting sqref="CC184:CC186">
    <cfRule type="expression" dxfId="11853" priority="21072" stopIfTrue="1">
      <formula>AND(IF(CC184&gt;=#REF!,CC184&lt;&gt;"N/A"))</formula>
    </cfRule>
    <cfRule type="expression" dxfId="11852" priority="21073" stopIfTrue="1">
      <formula>AND(IF(CC184&lt;#REF!,CC184&gt;=#REF!,CC184&lt;&gt;"N/A"))</formula>
    </cfRule>
    <cfRule type="expression" dxfId="11851" priority="21074" stopIfTrue="1">
      <formula>AND(IF(CC184&lt;#REF!,CC184&lt;&gt;"N/A"))</formula>
    </cfRule>
  </conditionalFormatting>
  <conditionalFormatting sqref="BZ179:BZ183">
    <cfRule type="expression" dxfId="11850" priority="21075" stopIfTrue="1">
      <formula>AND(IF(BZ179&gt;=#REF!,BZ179&lt;&gt;"N/A"))</formula>
    </cfRule>
    <cfRule type="expression" dxfId="11849" priority="21076" stopIfTrue="1">
      <formula>AND(IF(BZ179&lt;#REF!,BZ179&gt;=#REF!,BZ179&lt;&gt;"N/A"))</formula>
    </cfRule>
    <cfRule type="expression" dxfId="11848" priority="21077" stopIfTrue="1">
      <formula>AND(IF(BZ179&lt;#REF!,BZ179&lt;&gt;"N/A"))</formula>
    </cfRule>
  </conditionalFormatting>
  <conditionalFormatting sqref="CC223">
    <cfRule type="expression" dxfId="11847" priority="21063" stopIfTrue="1">
      <formula>AND(IF(CC223&gt;=#REF!,CC223&lt;&gt;"N/A"))</formula>
    </cfRule>
    <cfRule type="expression" dxfId="11846" priority="21064" stopIfTrue="1">
      <formula>AND(IF(CC223&lt;#REF!,CC223&gt;=#REF!,CC223&lt;&gt;"N/A"))</formula>
    </cfRule>
    <cfRule type="expression" dxfId="11845" priority="21065" stopIfTrue="1">
      <formula>AND(IF(CC223&lt;#REF!,CC223&lt;&gt;"N/A"))</formula>
    </cfRule>
  </conditionalFormatting>
  <conditionalFormatting sqref="BZ220:BZ222">
    <cfRule type="expression" dxfId="11844" priority="21066" stopIfTrue="1">
      <formula>AND(IF(BZ220&gt;=#REF!,BZ220&lt;&gt;"N/A"))</formula>
    </cfRule>
    <cfRule type="expression" dxfId="11843" priority="21067" stopIfTrue="1">
      <formula>AND(IF(BZ220&lt;#REF!,BZ220&gt;=#REF!,BZ220&lt;&gt;"N/A"))</formula>
    </cfRule>
    <cfRule type="expression" dxfId="11842" priority="21068" stopIfTrue="1">
      <formula>AND(IF(BZ220&lt;#REF!,BZ220&lt;&gt;"N/A"))</formula>
    </cfRule>
  </conditionalFormatting>
  <conditionalFormatting sqref="BZ108:BZ110">
    <cfRule type="expression" dxfId="11841" priority="21057" stopIfTrue="1">
      <formula>AND(IF(BZ108&gt;=#REF!,BZ108&lt;&gt;"N/A"))</formula>
    </cfRule>
    <cfRule type="expression" dxfId="11840" priority="21058" stopIfTrue="1">
      <formula>AND(IF(BZ108&lt;#REF!,BZ108&gt;=#REF!,BZ108&lt;&gt;"N/A"))</formula>
    </cfRule>
    <cfRule type="expression" dxfId="11839" priority="21059" stopIfTrue="1">
      <formula>AND(IF(BZ108&lt;#REF!,BZ108&lt;&gt;"N/A"))</formula>
    </cfRule>
  </conditionalFormatting>
  <conditionalFormatting sqref="CI15">
    <cfRule type="expression" dxfId="11838" priority="21054" stopIfTrue="1">
      <formula>AND(IF(CI15&gt;=#REF!,CI15&lt;&gt;"N/A"))</formula>
    </cfRule>
    <cfRule type="expression" dxfId="11837" priority="21055" stopIfTrue="1">
      <formula>AND(IF(CI15&lt;#REF!,CI15&gt;=#REF!,CI15&lt;&gt;"N/A"))</formula>
    </cfRule>
    <cfRule type="expression" dxfId="11836" priority="21056" stopIfTrue="1">
      <formula>AND(IF(CI15&lt;#REF!,CI15&lt;&gt;"N/A"))</formula>
    </cfRule>
  </conditionalFormatting>
  <conditionalFormatting sqref="CC108:CC110">
    <cfRule type="expression" dxfId="11835" priority="21051" stopIfTrue="1">
      <formula>AND(IF(CC108&gt;=#REF!,CC108&lt;&gt;"N/A"))</formula>
    </cfRule>
    <cfRule type="expression" dxfId="11834" priority="21052" stopIfTrue="1">
      <formula>AND(IF(CC108&lt;#REF!,CC108&gt;=#REF!,CC108&lt;&gt;"N/A"))</formula>
    </cfRule>
    <cfRule type="expression" dxfId="11833" priority="21053" stopIfTrue="1">
      <formula>AND(IF(CC108&lt;#REF!,CC108&lt;&gt;"N/A"))</formula>
    </cfRule>
  </conditionalFormatting>
  <conditionalFormatting sqref="CF108:CF110">
    <cfRule type="expression" dxfId="11832" priority="21048" stopIfTrue="1">
      <formula>AND(IF(CF108&gt;=#REF!,CF108&lt;&gt;"N/A"))</formula>
    </cfRule>
    <cfRule type="expression" dxfId="11831" priority="21049" stopIfTrue="1">
      <formula>AND(IF(CF108&lt;#REF!,CF108&gt;=#REF!,CF108&lt;&gt;"N/A"))</formula>
    </cfRule>
    <cfRule type="expression" dxfId="11830" priority="21050" stopIfTrue="1">
      <formula>AND(IF(CF108&lt;#REF!,CF108&lt;&gt;"N/A"))</formula>
    </cfRule>
  </conditionalFormatting>
  <conditionalFormatting sqref="AC65">
    <cfRule type="expression" dxfId="11829" priority="19653" stopIfTrue="1">
      <formula>AND(IF(AC65&gt;=#REF!,AC65&lt;&gt;"N/A"))</formula>
    </cfRule>
    <cfRule type="expression" dxfId="11828" priority="19654" stopIfTrue="1">
      <formula>AND(IF(AC65&lt;#REF!,AC65&gt;=#REF!,AC65&lt;&gt;"N/A"))</formula>
    </cfRule>
    <cfRule type="expression" dxfId="11827" priority="19655" stopIfTrue="1">
      <formula>AND(IF(AC65&lt;#REF!,AC65&lt;&gt;"N/A"))</formula>
    </cfRule>
  </conditionalFormatting>
  <conditionalFormatting sqref="V37">
    <cfRule type="expression" dxfId="11826" priority="19764" stopIfTrue="1">
      <formula>AND(IF(V37&gt;=#REF!,V37&lt;&gt;"N/A"))</formula>
    </cfRule>
    <cfRule type="expression" dxfId="11825" priority="19765" stopIfTrue="1">
      <formula>AND(IF(V37&lt;#REF!,V37&gt;=#REF!,V37&lt;&gt;"N/A"))</formula>
    </cfRule>
    <cfRule type="expression" dxfId="11824" priority="19766" stopIfTrue="1">
      <formula>AND(IF(V37&lt;#REF!,V37&lt;&gt;"N/A"))</formula>
    </cfRule>
  </conditionalFormatting>
  <conditionalFormatting sqref="V65">
    <cfRule type="expression" dxfId="11823" priority="19767" stopIfTrue="1">
      <formula>AND(IF(V65&gt;=#REF!,V65&lt;&gt;"N/A"))</formula>
    </cfRule>
    <cfRule type="expression" dxfId="11822" priority="19768" stopIfTrue="1">
      <formula>AND(IF(V65&lt;#REF!,V65&gt;=#REF!,V65&lt;&gt;"N/A"))</formula>
    </cfRule>
    <cfRule type="expression" dxfId="11821" priority="19769" stopIfTrue="1">
      <formula>AND(IF(V65&lt;#REF!,V65&lt;&gt;"N/A"))</formula>
    </cfRule>
  </conditionalFormatting>
  <conditionalFormatting sqref="AC37">
    <cfRule type="expression" dxfId="11820" priority="19650" stopIfTrue="1">
      <formula>AND(IF(AC37&gt;=#REF!,AC37&lt;&gt;"N/A"))</formula>
    </cfRule>
    <cfRule type="expression" dxfId="11819" priority="19651" stopIfTrue="1">
      <formula>AND(IF(AC37&lt;#REF!,AC37&gt;=#REF!,AC37&lt;&gt;"N/A"))</formula>
    </cfRule>
    <cfRule type="expression" dxfId="11818" priority="19652" stopIfTrue="1">
      <formula>AND(IF(AC37&lt;#REF!,AC37&lt;&gt;"N/A"))</formula>
    </cfRule>
  </conditionalFormatting>
  <conditionalFormatting sqref="O37">
    <cfRule type="expression" dxfId="11817" priority="18856" stopIfTrue="1">
      <formula>AND(IF(O37&gt;=#REF!,O37&lt;&gt;"N/A"))</formula>
    </cfRule>
    <cfRule type="expression" dxfId="11816" priority="18857" stopIfTrue="1">
      <formula>AND(IF(O37&lt;#REF!,O37&gt;=#REF!,O37&lt;&gt;"N/A"))</formula>
    </cfRule>
    <cfRule type="expression" dxfId="11815" priority="18858" stopIfTrue="1">
      <formula>AND(IF(O37&lt;#REF!,O37&lt;&gt;"N/A"))</formula>
    </cfRule>
  </conditionalFormatting>
  <conditionalFormatting sqref="I16:J16 Q16:Q36 X15:X36 AE15:AE36 AG15:AG36 Z15:AA36 AA38:AA64 AA66:AA76 AA78:AA86 AA90:AA91 AA94:AA97 AA99:AA105 AA124:AA145 AA147:AA154 AA156:AA166 AA168:AA176 AA179:AA202 AA204:AA205 AA207:AA209 AA211:AA217 AA220:AA222 Z108:AA122 X108:X122 AE108:AE122 AG108:AG122 I15 I17:I21 J17:J227 Q108:Q122">
    <cfRule type="cellIs" dxfId="11814" priority="14768" operator="between">
      <formula>0.76</formula>
      <formula>0.95</formula>
    </cfRule>
    <cfRule type="cellIs" dxfId="11813" priority="14769" operator="between">
      <formula>0.51</formula>
      <formula>0.75</formula>
    </cfRule>
    <cfRule type="cellIs" dxfId="11812" priority="14770" operator="greaterThan">
      <formula>1</formula>
    </cfRule>
    <cfRule type="cellIs" dxfId="11811" priority="14771" operator="between">
      <formula>0.95</formula>
      <formula>1</formula>
    </cfRule>
    <cfRule type="cellIs" dxfId="11810" priority="14772" stopIfTrue="1" operator="between">
      <formula>0</formula>
      <formula>0.5</formula>
    </cfRule>
  </conditionalFormatting>
  <conditionalFormatting sqref="I22">
    <cfRule type="cellIs" dxfId="11809" priority="14763" operator="between">
      <formula>0.76</formula>
      <formula>0.95</formula>
    </cfRule>
    <cfRule type="cellIs" dxfId="11808" priority="14764" operator="between">
      <formula>0.51</formula>
      <formula>0.75</formula>
    </cfRule>
    <cfRule type="cellIs" dxfId="11807" priority="14765" operator="greaterThan">
      <formula>1</formula>
    </cfRule>
    <cfRule type="cellIs" dxfId="11806" priority="14766" operator="between">
      <formula>0.95</formula>
      <formula>1</formula>
    </cfRule>
    <cfRule type="cellIs" dxfId="11805" priority="14767" stopIfTrue="1" operator="between">
      <formula>0</formula>
      <formula>0.5</formula>
    </cfRule>
  </conditionalFormatting>
  <conditionalFormatting sqref="I23">
    <cfRule type="cellIs" dxfId="11804" priority="14758" operator="between">
      <formula>0.76</formula>
      <formula>0.95</formula>
    </cfRule>
    <cfRule type="cellIs" dxfId="11803" priority="14759" operator="between">
      <formula>0.51</formula>
      <formula>0.75</formula>
    </cfRule>
    <cfRule type="cellIs" dxfId="11802" priority="14760" operator="greaterThan">
      <formula>1</formula>
    </cfRule>
    <cfRule type="cellIs" dxfId="11801" priority="14761" operator="between">
      <formula>0.95</formula>
      <formula>1</formula>
    </cfRule>
    <cfRule type="cellIs" dxfId="11800" priority="14762" stopIfTrue="1" operator="between">
      <formula>0</formula>
      <formula>0.5</formula>
    </cfRule>
  </conditionalFormatting>
  <conditionalFormatting sqref="I25">
    <cfRule type="cellIs" dxfId="11799" priority="14753" operator="between">
      <formula>0.76</formula>
      <formula>0.95</formula>
    </cfRule>
    <cfRule type="cellIs" dxfId="11798" priority="14754" operator="between">
      <formula>0.51</formula>
      <formula>0.75</formula>
    </cfRule>
    <cfRule type="cellIs" dxfId="11797" priority="14755" operator="greaterThan">
      <formula>1</formula>
    </cfRule>
    <cfRule type="cellIs" dxfId="11796" priority="14756" operator="between">
      <formula>0.95</formula>
      <formula>1</formula>
    </cfRule>
    <cfRule type="cellIs" dxfId="11795" priority="14757" stopIfTrue="1" operator="between">
      <formula>0</formula>
      <formula>0.5</formula>
    </cfRule>
  </conditionalFormatting>
  <conditionalFormatting sqref="I26">
    <cfRule type="cellIs" dxfId="11794" priority="14748" operator="between">
      <formula>0.76</formula>
      <formula>0.95</formula>
    </cfRule>
    <cfRule type="cellIs" dxfId="11793" priority="14749" operator="between">
      <formula>0.51</formula>
      <formula>0.75</formula>
    </cfRule>
    <cfRule type="cellIs" dxfId="11792" priority="14750" operator="greaterThan">
      <formula>1</formula>
    </cfRule>
    <cfRule type="cellIs" dxfId="11791" priority="14751" operator="between">
      <formula>0.95</formula>
      <formula>1</formula>
    </cfRule>
    <cfRule type="cellIs" dxfId="11790" priority="14752" stopIfTrue="1" operator="between">
      <formula>0</formula>
      <formula>0.5</formula>
    </cfRule>
  </conditionalFormatting>
  <conditionalFormatting sqref="I27">
    <cfRule type="cellIs" dxfId="11789" priority="14743" operator="between">
      <formula>0.76</formula>
      <formula>0.95</formula>
    </cfRule>
    <cfRule type="cellIs" dxfId="11788" priority="14744" operator="between">
      <formula>0.51</formula>
      <formula>0.75</formula>
    </cfRule>
    <cfRule type="cellIs" dxfId="11787" priority="14745" operator="greaterThan">
      <formula>1</formula>
    </cfRule>
    <cfRule type="cellIs" dxfId="11786" priority="14746" operator="between">
      <formula>0.95</formula>
      <formula>1</formula>
    </cfRule>
    <cfRule type="cellIs" dxfId="11785" priority="14747" stopIfTrue="1" operator="between">
      <formula>0</formula>
      <formula>0.5</formula>
    </cfRule>
  </conditionalFormatting>
  <conditionalFormatting sqref="I28">
    <cfRule type="cellIs" dxfId="11784" priority="14738" operator="between">
      <formula>0.76</formula>
      <formula>0.95</formula>
    </cfRule>
    <cfRule type="cellIs" dxfId="11783" priority="14739" operator="between">
      <formula>0.51</formula>
      <formula>0.75</formula>
    </cfRule>
    <cfRule type="cellIs" dxfId="11782" priority="14740" operator="greaterThan">
      <formula>1</formula>
    </cfRule>
    <cfRule type="cellIs" dxfId="11781" priority="14741" operator="between">
      <formula>0.95</formula>
      <formula>1</formula>
    </cfRule>
    <cfRule type="cellIs" dxfId="11780" priority="14742" stopIfTrue="1" operator="between">
      <formula>0</formula>
      <formula>0.5</formula>
    </cfRule>
  </conditionalFormatting>
  <conditionalFormatting sqref="I29">
    <cfRule type="cellIs" dxfId="11779" priority="14733" operator="between">
      <formula>0.76</formula>
      <formula>0.95</formula>
    </cfRule>
    <cfRule type="cellIs" dxfId="11778" priority="14734" operator="between">
      <formula>0.51</formula>
      <formula>0.75</formula>
    </cfRule>
    <cfRule type="cellIs" dxfId="11777" priority="14735" operator="greaterThan">
      <formula>1</formula>
    </cfRule>
    <cfRule type="cellIs" dxfId="11776" priority="14736" operator="between">
      <formula>0.95</formula>
      <formula>1</formula>
    </cfRule>
    <cfRule type="cellIs" dxfId="11775" priority="14737" stopIfTrue="1" operator="between">
      <formula>0</formula>
      <formula>0.5</formula>
    </cfRule>
  </conditionalFormatting>
  <conditionalFormatting sqref="I30">
    <cfRule type="cellIs" dxfId="11774" priority="14728" operator="between">
      <formula>0.76</formula>
      <formula>0.95</formula>
    </cfRule>
    <cfRule type="cellIs" dxfId="11773" priority="14729" operator="between">
      <formula>0.51</formula>
      <formula>0.75</formula>
    </cfRule>
    <cfRule type="cellIs" dxfId="11772" priority="14730" operator="greaterThan">
      <formula>1</formula>
    </cfRule>
    <cfRule type="cellIs" dxfId="11771" priority="14731" operator="between">
      <formula>0.95</formula>
      <formula>1</formula>
    </cfRule>
    <cfRule type="cellIs" dxfId="11770" priority="14732" stopIfTrue="1" operator="between">
      <formula>0</formula>
      <formula>0.5</formula>
    </cfRule>
  </conditionalFormatting>
  <conditionalFormatting sqref="I31">
    <cfRule type="cellIs" dxfId="11769" priority="14723" operator="between">
      <formula>0.76</formula>
      <formula>0.95</formula>
    </cfRule>
    <cfRule type="cellIs" dxfId="11768" priority="14724" operator="between">
      <formula>0.51</formula>
      <formula>0.75</formula>
    </cfRule>
    <cfRule type="cellIs" dxfId="11767" priority="14725" operator="greaterThan">
      <formula>1</formula>
    </cfRule>
    <cfRule type="cellIs" dxfId="11766" priority="14726" operator="between">
      <formula>0.95</formula>
      <formula>1</formula>
    </cfRule>
    <cfRule type="cellIs" dxfId="11765" priority="14727" stopIfTrue="1" operator="between">
      <formula>0</formula>
      <formula>0.5</formula>
    </cfRule>
  </conditionalFormatting>
  <conditionalFormatting sqref="I35">
    <cfRule type="cellIs" dxfId="11764" priority="14718" operator="between">
      <formula>0.76</formula>
      <formula>0.95</formula>
    </cfRule>
    <cfRule type="cellIs" dxfId="11763" priority="14719" operator="between">
      <formula>0.51</formula>
      <formula>0.75</formula>
    </cfRule>
    <cfRule type="cellIs" dxfId="11762" priority="14720" operator="greaterThan">
      <formula>1</formula>
    </cfRule>
    <cfRule type="cellIs" dxfId="11761" priority="14721" operator="between">
      <formula>0.95</formula>
      <formula>1</formula>
    </cfRule>
    <cfRule type="cellIs" dxfId="11760" priority="14722" stopIfTrue="1" operator="between">
      <formula>0</formula>
      <formula>0.5</formula>
    </cfRule>
  </conditionalFormatting>
  <conditionalFormatting sqref="I36">
    <cfRule type="cellIs" dxfId="11759" priority="14708" operator="between">
      <formula>0.76</formula>
      <formula>0.95</formula>
    </cfRule>
    <cfRule type="cellIs" dxfId="11758" priority="14709" operator="between">
      <formula>0.51</formula>
      <formula>0.75</formula>
    </cfRule>
    <cfRule type="cellIs" dxfId="11757" priority="14710" operator="greaterThan">
      <formula>1</formula>
    </cfRule>
    <cfRule type="cellIs" dxfId="11756" priority="14711" operator="between">
      <formula>0.95</formula>
      <formula>1</formula>
    </cfRule>
    <cfRule type="cellIs" dxfId="11755" priority="14712" stopIfTrue="1" operator="between">
      <formula>0</formula>
      <formula>0.5</formula>
    </cfRule>
  </conditionalFormatting>
  <conditionalFormatting sqref="I37">
    <cfRule type="cellIs" dxfId="11754" priority="14703" operator="between">
      <formula>0.76</formula>
      <formula>0.95</formula>
    </cfRule>
    <cfRule type="cellIs" dxfId="11753" priority="14704" operator="between">
      <formula>0.51</formula>
      <formula>0.75</formula>
    </cfRule>
    <cfRule type="cellIs" dxfId="11752" priority="14705" operator="greaterThan">
      <formula>1</formula>
    </cfRule>
    <cfRule type="cellIs" dxfId="11751" priority="14706" operator="between">
      <formula>0.95</formula>
      <formula>1</formula>
    </cfRule>
    <cfRule type="cellIs" dxfId="11750" priority="14707" stopIfTrue="1" operator="between">
      <formula>0</formula>
      <formula>0.5</formula>
    </cfRule>
  </conditionalFormatting>
  <conditionalFormatting sqref="I39">
    <cfRule type="cellIs" dxfId="11749" priority="14693" operator="between">
      <formula>0.76</formula>
      <formula>0.95</formula>
    </cfRule>
    <cfRule type="cellIs" dxfId="11748" priority="14694" operator="between">
      <formula>0.51</formula>
      <formula>0.75</formula>
    </cfRule>
    <cfRule type="cellIs" dxfId="11747" priority="14695" operator="greaterThan">
      <formula>1</formula>
    </cfRule>
    <cfRule type="cellIs" dxfId="11746" priority="14696" operator="between">
      <formula>0.95</formula>
      <formula>1</formula>
    </cfRule>
    <cfRule type="cellIs" dxfId="11745" priority="14697" stopIfTrue="1" operator="between">
      <formula>0</formula>
      <formula>0.5</formula>
    </cfRule>
  </conditionalFormatting>
  <conditionalFormatting sqref="I38">
    <cfRule type="cellIs" dxfId="11744" priority="14688" operator="between">
      <formula>0.76</formula>
      <formula>0.95</formula>
    </cfRule>
    <cfRule type="cellIs" dxfId="11743" priority="14689" operator="between">
      <formula>0.51</formula>
      <formula>0.75</formula>
    </cfRule>
    <cfRule type="cellIs" dxfId="11742" priority="14690" operator="greaterThan">
      <formula>1</formula>
    </cfRule>
    <cfRule type="cellIs" dxfId="11741" priority="14691" operator="between">
      <formula>0.95</formula>
      <formula>1</formula>
    </cfRule>
    <cfRule type="cellIs" dxfId="11740" priority="14692" stopIfTrue="1" operator="between">
      <formula>0</formula>
      <formula>0.5</formula>
    </cfRule>
  </conditionalFormatting>
  <conditionalFormatting sqref="I40">
    <cfRule type="cellIs" dxfId="11739" priority="14683" operator="between">
      <formula>0.76</formula>
      <formula>0.95</formula>
    </cfRule>
    <cfRule type="cellIs" dxfId="11738" priority="14684" operator="between">
      <formula>0.51</formula>
      <formula>0.75</formula>
    </cfRule>
    <cfRule type="cellIs" dxfId="11737" priority="14685" operator="greaterThan">
      <formula>1</formula>
    </cfRule>
    <cfRule type="cellIs" dxfId="11736" priority="14686" operator="between">
      <formula>0.95</formula>
      <formula>1</formula>
    </cfRule>
    <cfRule type="cellIs" dxfId="11735" priority="14687" stopIfTrue="1" operator="between">
      <formula>0</formula>
      <formula>0.5</formula>
    </cfRule>
  </conditionalFormatting>
  <conditionalFormatting sqref="I41">
    <cfRule type="cellIs" dxfId="11734" priority="14678" operator="between">
      <formula>0.76</formula>
      <formula>0.95</formula>
    </cfRule>
    <cfRule type="cellIs" dxfId="11733" priority="14679" operator="between">
      <formula>0.51</formula>
      <formula>0.75</formula>
    </cfRule>
    <cfRule type="cellIs" dxfId="11732" priority="14680" operator="greaterThan">
      <formula>1</formula>
    </cfRule>
    <cfRule type="cellIs" dxfId="11731" priority="14681" operator="between">
      <formula>0.95</formula>
      <formula>1</formula>
    </cfRule>
    <cfRule type="cellIs" dxfId="11730" priority="14682" stopIfTrue="1" operator="between">
      <formula>0</formula>
      <formula>0.5</formula>
    </cfRule>
  </conditionalFormatting>
  <conditionalFormatting sqref="I42">
    <cfRule type="cellIs" dxfId="11729" priority="14673" operator="between">
      <formula>0.76</formula>
      <formula>0.95</formula>
    </cfRule>
    <cfRule type="cellIs" dxfId="11728" priority="14674" operator="between">
      <formula>0.51</formula>
      <formula>0.75</formula>
    </cfRule>
    <cfRule type="cellIs" dxfId="11727" priority="14675" operator="greaterThan">
      <formula>1</formula>
    </cfRule>
    <cfRule type="cellIs" dxfId="11726" priority="14676" operator="between">
      <formula>0.95</formula>
      <formula>1</formula>
    </cfRule>
    <cfRule type="cellIs" dxfId="11725" priority="14677" stopIfTrue="1" operator="between">
      <formula>0</formula>
      <formula>0.5</formula>
    </cfRule>
  </conditionalFormatting>
  <conditionalFormatting sqref="I43">
    <cfRule type="cellIs" dxfId="11724" priority="14668" operator="between">
      <formula>0.76</formula>
      <formula>0.95</formula>
    </cfRule>
    <cfRule type="cellIs" dxfId="11723" priority="14669" operator="between">
      <formula>0.51</formula>
      <formula>0.75</formula>
    </cfRule>
    <cfRule type="cellIs" dxfId="11722" priority="14670" operator="greaterThan">
      <formula>1</formula>
    </cfRule>
    <cfRule type="cellIs" dxfId="11721" priority="14671" operator="between">
      <formula>0.95</formula>
      <formula>1</formula>
    </cfRule>
    <cfRule type="cellIs" dxfId="11720" priority="14672" stopIfTrue="1" operator="between">
      <formula>0</formula>
      <formula>0.5</formula>
    </cfRule>
  </conditionalFormatting>
  <conditionalFormatting sqref="I44">
    <cfRule type="cellIs" dxfId="11719" priority="14663" operator="between">
      <formula>0.76</formula>
      <formula>0.95</formula>
    </cfRule>
    <cfRule type="cellIs" dxfId="11718" priority="14664" operator="between">
      <formula>0.51</formula>
      <formula>0.75</formula>
    </cfRule>
    <cfRule type="cellIs" dxfId="11717" priority="14665" operator="greaterThan">
      <formula>1</formula>
    </cfRule>
    <cfRule type="cellIs" dxfId="11716" priority="14666" operator="between">
      <formula>0.95</formula>
      <formula>1</formula>
    </cfRule>
    <cfRule type="cellIs" dxfId="11715" priority="14667" stopIfTrue="1" operator="between">
      <formula>0</formula>
      <formula>0.5</formula>
    </cfRule>
  </conditionalFormatting>
  <conditionalFormatting sqref="I45">
    <cfRule type="cellIs" dxfId="11714" priority="14658" operator="between">
      <formula>0.76</formula>
      <formula>0.95</formula>
    </cfRule>
    <cfRule type="cellIs" dxfId="11713" priority="14659" operator="between">
      <formula>0.51</formula>
      <formula>0.75</formula>
    </cfRule>
    <cfRule type="cellIs" dxfId="11712" priority="14660" operator="greaterThan">
      <formula>1</formula>
    </cfRule>
    <cfRule type="cellIs" dxfId="11711" priority="14661" operator="between">
      <formula>0.95</formula>
      <formula>1</formula>
    </cfRule>
    <cfRule type="cellIs" dxfId="11710" priority="14662" stopIfTrue="1" operator="between">
      <formula>0</formula>
      <formula>0.5</formula>
    </cfRule>
  </conditionalFormatting>
  <conditionalFormatting sqref="I46">
    <cfRule type="cellIs" dxfId="11709" priority="14653" operator="between">
      <formula>0.76</formula>
      <formula>0.95</formula>
    </cfRule>
    <cfRule type="cellIs" dxfId="11708" priority="14654" operator="between">
      <formula>0.51</formula>
      <formula>0.75</formula>
    </cfRule>
    <cfRule type="cellIs" dxfId="11707" priority="14655" operator="greaterThan">
      <formula>1</formula>
    </cfRule>
    <cfRule type="cellIs" dxfId="11706" priority="14656" operator="between">
      <formula>0.95</formula>
      <formula>1</formula>
    </cfRule>
    <cfRule type="cellIs" dxfId="11705" priority="14657" stopIfTrue="1" operator="between">
      <formula>0</formula>
      <formula>0.5</formula>
    </cfRule>
  </conditionalFormatting>
  <conditionalFormatting sqref="I48">
    <cfRule type="cellIs" dxfId="11704" priority="14648" operator="between">
      <formula>0.76</formula>
      <formula>0.95</formula>
    </cfRule>
    <cfRule type="cellIs" dxfId="11703" priority="14649" operator="between">
      <formula>0.51</formula>
      <formula>0.75</formula>
    </cfRule>
    <cfRule type="cellIs" dxfId="11702" priority="14650" operator="greaterThan">
      <formula>1</formula>
    </cfRule>
    <cfRule type="cellIs" dxfId="11701" priority="14651" operator="between">
      <formula>0.95</formula>
      <formula>1</formula>
    </cfRule>
    <cfRule type="cellIs" dxfId="11700" priority="14652" stopIfTrue="1" operator="between">
      <formula>0</formula>
      <formula>0.5</formula>
    </cfRule>
  </conditionalFormatting>
  <conditionalFormatting sqref="I47">
    <cfRule type="cellIs" dxfId="11699" priority="14643" operator="between">
      <formula>0.76</formula>
      <formula>0.95</formula>
    </cfRule>
    <cfRule type="cellIs" dxfId="11698" priority="14644" operator="between">
      <formula>0.51</formula>
      <formula>0.75</formula>
    </cfRule>
    <cfRule type="cellIs" dxfId="11697" priority="14645" operator="greaterThan">
      <formula>1</formula>
    </cfRule>
    <cfRule type="cellIs" dxfId="11696" priority="14646" operator="between">
      <formula>0.95</formula>
      <formula>1</formula>
    </cfRule>
    <cfRule type="cellIs" dxfId="11695" priority="14647" stopIfTrue="1" operator="between">
      <formula>0</formula>
      <formula>0.5</formula>
    </cfRule>
  </conditionalFormatting>
  <conditionalFormatting sqref="I49">
    <cfRule type="cellIs" dxfId="11694" priority="14638" operator="between">
      <formula>0.76</formula>
      <formula>0.95</formula>
    </cfRule>
    <cfRule type="cellIs" dxfId="11693" priority="14639" operator="between">
      <formula>0.51</formula>
      <formula>0.75</formula>
    </cfRule>
    <cfRule type="cellIs" dxfId="11692" priority="14640" operator="greaterThan">
      <formula>1</formula>
    </cfRule>
    <cfRule type="cellIs" dxfId="11691" priority="14641" operator="between">
      <formula>0.95</formula>
      <formula>1</formula>
    </cfRule>
    <cfRule type="cellIs" dxfId="11690" priority="14642" stopIfTrue="1" operator="between">
      <formula>0</formula>
      <formula>0.5</formula>
    </cfRule>
  </conditionalFormatting>
  <conditionalFormatting sqref="I50">
    <cfRule type="cellIs" dxfId="11689" priority="14633" operator="between">
      <formula>0.76</formula>
      <formula>0.95</formula>
    </cfRule>
    <cfRule type="cellIs" dxfId="11688" priority="14634" operator="between">
      <formula>0.51</formula>
      <formula>0.75</formula>
    </cfRule>
    <cfRule type="cellIs" dxfId="11687" priority="14635" operator="greaterThan">
      <formula>1</formula>
    </cfRule>
    <cfRule type="cellIs" dxfId="11686" priority="14636" operator="between">
      <formula>0.95</formula>
      <formula>1</formula>
    </cfRule>
    <cfRule type="cellIs" dxfId="11685" priority="14637" stopIfTrue="1" operator="between">
      <formula>0</formula>
      <formula>0.5</formula>
    </cfRule>
  </conditionalFormatting>
  <conditionalFormatting sqref="I51">
    <cfRule type="cellIs" dxfId="11684" priority="14628" operator="between">
      <formula>0.76</formula>
      <formula>0.95</formula>
    </cfRule>
    <cfRule type="cellIs" dxfId="11683" priority="14629" operator="between">
      <formula>0.51</formula>
      <formula>0.75</formula>
    </cfRule>
    <cfRule type="cellIs" dxfId="11682" priority="14630" operator="greaterThan">
      <formula>1</formula>
    </cfRule>
    <cfRule type="cellIs" dxfId="11681" priority="14631" operator="between">
      <formula>0.95</formula>
      <formula>1</formula>
    </cfRule>
    <cfRule type="cellIs" dxfId="11680" priority="14632" stopIfTrue="1" operator="between">
      <formula>0</formula>
      <formula>0.5</formula>
    </cfRule>
  </conditionalFormatting>
  <conditionalFormatting sqref="I52">
    <cfRule type="cellIs" dxfId="11679" priority="14623" operator="between">
      <formula>0.76</formula>
      <formula>0.95</formula>
    </cfRule>
    <cfRule type="cellIs" dxfId="11678" priority="14624" operator="between">
      <formula>0.51</formula>
      <formula>0.75</formula>
    </cfRule>
    <cfRule type="cellIs" dxfId="11677" priority="14625" operator="greaterThan">
      <formula>1</formula>
    </cfRule>
    <cfRule type="cellIs" dxfId="11676" priority="14626" operator="between">
      <formula>0.95</formula>
      <formula>1</formula>
    </cfRule>
    <cfRule type="cellIs" dxfId="11675" priority="14627" stopIfTrue="1" operator="between">
      <formula>0</formula>
      <formula>0.5</formula>
    </cfRule>
  </conditionalFormatting>
  <conditionalFormatting sqref="I53">
    <cfRule type="cellIs" dxfId="11674" priority="14618" operator="between">
      <formula>0.76</formula>
      <formula>0.95</formula>
    </cfRule>
    <cfRule type="cellIs" dxfId="11673" priority="14619" operator="between">
      <formula>0.51</formula>
      <formula>0.75</formula>
    </cfRule>
    <cfRule type="cellIs" dxfId="11672" priority="14620" operator="greaterThan">
      <formula>1</formula>
    </cfRule>
    <cfRule type="cellIs" dxfId="11671" priority="14621" operator="between">
      <formula>0.95</formula>
      <formula>1</formula>
    </cfRule>
    <cfRule type="cellIs" dxfId="11670" priority="14622" stopIfTrue="1" operator="between">
      <formula>0</formula>
      <formula>0.5</formula>
    </cfRule>
  </conditionalFormatting>
  <conditionalFormatting sqref="I54">
    <cfRule type="cellIs" dxfId="11669" priority="14613" operator="between">
      <formula>0.76</formula>
      <formula>0.95</formula>
    </cfRule>
    <cfRule type="cellIs" dxfId="11668" priority="14614" operator="between">
      <formula>0.51</formula>
      <formula>0.75</formula>
    </cfRule>
    <cfRule type="cellIs" dxfId="11667" priority="14615" operator="greaterThan">
      <formula>1</formula>
    </cfRule>
    <cfRule type="cellIs" dxfId="11666" priority="14616" operator="between">
      <formula>0.95</formula>
      <formula>1</formula>
    </cfRule>
    <cfRule type="cellIs" dxfId="11665" priority="14617" stopIfTrue="1" operator="between">
      <formula>0</formula>
      <formula>0.5</formula>
    </cfRule>
  </conditionalFormatting>
  <conditionalFormatting sqref="I55">
    <cfRule type="cellIs" dxfId="11664" priority="14608" operator="between">
      <formula>0.76</formula>
      <formula>0.95</formula>
    </cfRule>
    <cfRule type="cellIs" dxfId="11663" priority="14609" operator="between">
      <formula>0.51</formula>
      <formula>0.75</formula>
    </cfRule>
    <cfRule type="cellIs" dxfId="11662" priority="14610" operator="greaterThan">
      <formula>1</formula>
    </cfRule>
    <cfRule type="cellIs" dxfId="11661" priority="14611" operator="between">
      <formula>0.95</formula>
      <formula>1</formula>
    </cfRule>
    <cfRule type="cellIs" dxfId="11660" priority="14612" stopIfTrue="1" operator="between">
      <formula>0</formula>
      <formula>0.5</formula>
    </cfRule>
  </conditionalFormatting>
  <conditionalFormatting sqref="I56">
    <cfRule type="cellIs" dxfId="11659" priority="14603" operator="between">
      <formula>0.76</formula>
      <formula>0.95</formula>
    </cfRule>
    <cfRule type="cellIs" dxfId="11658" priority="14604" operator="between">
      <formula>0.51</formula>
      <formula>0.75</formula>
    </cfRule>
    <cfRule type="cellIs" dxfId="11657" priority="14605" operator="greaterThan">
      <formula>1</formula>
    </cfRule>
    <cfRule type="cellIs" dxfId="11656" priority="14606" operator="between">
      <formula>0.95</formula>
      <formula>1</formula>
    </cfRule>
    <cfRule type="cellIs" dxfId="11655" priority="14607" stopIfTrue="1" operator="between">
      <formula>0</formula>
      <formula>0.5</formula>
    </cfRule>
  </conditionalFormatting>
  <conditionalFormatting sqref="I57">
    <cfRule type="cellIs" dxfId="11654" priority="14598" operator="between">
      <formula>0.76</formula>
      <formula>0.95</formula>
    </cfRule>
    <cfRule type="cellIs" dxfId="11653" priority="14599" operator="between">
      <formula>0.51</formula>
      <formula>0.75</formula>
    </cfRule>
    <cfRule type="cellIs" dxfId="11652" priority="14600" operator="greaterThan">
      <formula>1</formula>
    </cfRule>
    <cfRule type="cellIs" dxfId="11651" priority="14601" operator="between">
      <formula>0.95</formula>
      <formula>1</formula>
    </cfRule>
    <cfRule type="cellIs" dxfId="11650" priority="14602" stopIfTrue="1" operator="between">
      <formula>0</formula>
      <formula>0.5</formula>
    </cfRule>
  </conditionalFormatting>
  <conditionalFormatting sqref="I58">
    <cfRule type="cellIs" dxfId="11649" priority="14593" operator="between">
      <formula>0.76</formula>
      <formula>0.95</formula>
    </cfRule>
    <cfRule type="cellIs" dxfId="11648" priority="14594" operator="between">
      <formula>0.51</formula>
      <formula>0.75</formula>
    </cfRule>
    <cfRule type="cellIs" dxfId="11647" priority="14595" operator="greaterThan">
      <formula>1</formula>
    </cfRule>
    <cfRule type="cellIs" dxfId="11646" priority="14596" operator="between">
      <formula>0.95</formula>
      <formula>1</formula>
    </cfRule>
    <cfRule type="cellIs" dxfId="11645" priority="14597" stopIfTrue="1" operator="between">
      <formula>0</formula>
      <formula>0.5</formula>
    </cfRule>
  </conditionalFormatting>
  <conditionalFormatting sqref="I59">
    <cfRule type="cellIs" dxfId="11644" priority="14583" operator="between">
      <formula>0.76</formula>
      <formula>0.95</formula>
    </cfRule>
    <cfRule type="cellIs" dxfId="11643" priority="14584" operator="between">
      <formula>0.51</formula>
      <formula>0.75</formula>
    </cfRule>
    <cfRule type="cellIs" dxfId="11642" priority="14585" operator="greaterThan">
      <formula>1</formula>
    </cfRule>
    <cfRule type="cellIs" dxfId="11641" priority="14586" operator="between">
      <formula>0.95</formula>
      <formula>1</formula>
    </cfRule>
    <cfRule type="cellIs" dxfId="11640" priority="14587" stopIfTrue="1" operator="between">
      <formula>0</formula>
      <formula>0.5</formula>
    </cfRule>
  </conditionalFormatting>
  <conditionalFormatting sqref="I60">
    <cfRule type="cellIs" dxfId="11639" priority="14578" operator="between">
      <formula>0.76</formula>
      <formula>0.95</formula>
    </cfRule>
    <cfRule type="cellIs" dxfId="11638" priority="14579" operator="between">
      <formula>0.51</formula>
      <formula>0.75</formula>
    </cfRule>
    <cfRule type="cellIs" dxfId="11637" priority="14580" operator="greaterThan">
      <formula>1</formula>
    </cfRule>
    <cfRule type="cellIs" dxfId="11636" priority="14581" operator="between">
      <formula>0.95</formula>
      <formula>1</formula>
    </cfRule>
    <cfRule type="cellIs" dxfId="11635" priority="14582" stopIfTrue="1" operator="between">
      <formula>0</formula>
      <formula>0.5</formula>
    </cfRule>
  </conditionalFormatting>
  <conditionalFormatting sqref="I61">
    <cfRule type="cellIs" dxfId="11634" priority="14573" operator="between">
      <formula>0.76</formula>
      <formula>0.95</formula>
    </cfRule>
    <cfRule type="cellIs" dxfId="11633" priority="14574" operator="between">
      <formula>0.51</formula>
      <formula>0.75</formula>
    </cfRule>
    <cfRule type="cellIs" dxfId="11632" priority="14575" operator="greaterThan">
      <formula>1</formula>
    </cfRule>
    <cfRule type="cellIs" dxfId="11631" priority="14576" operator="between">
      <formula>0.95</formula>
      <formula>1</formula>
    </cfRule>
    <cfRule type="cellIs" dxfId="11630" priority="14577" stopIfTrue="1" operator="between">
      <formula>0</formula>
      <formula>0.5</formula>
    </cfRule>
  </conditionalFormatting>
  <conditionalFormatting sqref="I62">
    <cfRule type="cellIs" dxfId="11629" priority="14568" operator="between">
      <formula>0.76</formula>
      <formula>0.95</formula>
    </cfRule>
    <cfRule type="cellIs" dxfId="11628" priority="14569" operator="between">
      <formula>0.51</formula>
      <formula>0.75</formula>
    </cfRule>
    <cfRule type="cellIs" dxfId="11627" priority="14570" operator="greaterThan">
      <formula>1</formula>
    </cfRule>
    <cfRule type="cellIs" dxfId="11626" priority="14571" operator="between">
      <formula>0.95</formula>
      <formula>1</formula>
    </cfRule>
    <cfRule type="cellIs" dxfId="11625" priority="14572" stopIfTrue="1" operator="between">
      <formula>0</formula>
      <formula>0.5</formula>
    </cfRule>
  </conditionalFormatting>
  <conditionalFormatting sqref="I64">
    <cfRule type="cellIs" dxfId="11624" priority="14563" operator="between">
      <formula>0.76</formula>
      <formula>0.95</formula>
    </cfRule>
    <cfRule type="cellIs" dxfId="11623" priority="14564" operator="between">
      <formula>0.51</formula>
      <formula>0.75</formula>
    </cfRule>
    <cfRule type="cellIs" dxfId="11622" priority="14565" operator="greaterThan">
      <formula>1</formula>
    </cfRule>
    <cfRule type="cellIs" dxfId="11621" priority="14566" operator="between">
      <formula>0.95</formula>
      <formula>1</formula>
    </cfRule>
    <cfRule type="cellIs" dxfId="11620" priority="14567" stopIfTrue="1" operator="between">
      <formula>0</formula>
      <formula>0.5</formula>
    </cfRule>
  </conditionalFormatting>
  <conditionalFormatting sqref="I65">
    <cfRule type="cellIs" dxfId="11619" priority="14558" operator="between">
      <formula>0.76</formula>
      <formula>0.95</formula>
    </cfRule>
    <cfRule type="cellIs" dxfId="11618" priority="14559" operator="between">
      <formula>0.51</formula>
      <formula>0.75</formula>
    </cfRule>
    <cfRule type="cellIs" dxfId="11617" priority="14560" operator="greaterThan">
      <formula>1</formula>
    </cfRule>
    <cfRule type="cellIs" dxfId="11616" priority="14561" operator="between">
      <formula>0.95</formula>
      <formula>1</formula>
    </cfRule>
    <cfRule type="cellIs" dxfId="11615" priority="14562" stopIfTrue="1" operator="between">
      <formula>0</formula>
      <formula>0.5</formula>
    </cfRule>
  </conditionalFormatting>
  <conditionalFormatting sqref="I66">
    <cfRule type="cellIs" dxfId="11614" priority="14553" operator="between">
      <formula>0.76</formula>
      <formula>0.95</formula>
    </cfRule>
    <cfRule type="cellIs" dxfId="11613" priority="14554" operator="between">
      <formula>0.51</formula>
      <formula>0.75</formula>
    </cfRule>
    <cfRule type="cellIs" dxfId="11612" priority="14555" operator="greaterThan">
      <formula>1</formula>
    </cfRule>
    <cfRule type="cellIs" dxfId="11611" priority="14556" operator="between">
      <formula>0.95</formula>
      <formula>1</formula>
    </cfRule>
    <cfRule type="cellIs" dxfId="11610" priority="14557" stopIfTrue="1" operator="between">
      <formula>0</formula>
      <formula>0.5</formula>
    </cfRule>
  </conditionalFormatting>
  <conditionalFormatting sqref="I67">
    <cfRule type="cellIs" dxfId="11609" priority="14548" operator="between">
      <formula>0.76</formula>
      <formula>0.95</formula>
    </cfRule>
    <cfRule type="cellIs" dxfId="11608" priority="14549" operator="between">
      <formula>0.51</formula>
      <formula>0.75</formula>
    </cfRule>
    <cfRule type="cellIs" dxfId="11607" priority="14550" operator="greaterThan">
      <formula>1</formula>
    </cfRule>
    <cfRule type="cellIs" dxfId="11606" priority="14551" operator="between">
      <formula>0.95</formula>
      <formula>1</formula>
    </cfRule>
    <cfRule type="cellIs" dxfId="11605" priority="14552" stopIfTrue="1" operator="between">
      <formula>0</formula>
      <formula>0.5</formula>
    </cfRule>
  </conditionalFormatting>
  <conditionalFormatting sqref="I68">
    <cfRule type="cellIs" dxfId="11604" priority="14543" operator="between">
      <formula>0.76</formula>
      <formula>0.95</formula>
    </cfRule>
    <cfRule type="cellIs" dxfId="11603" priority="14544" operator="between">
      <formula>0.51</formula>
      <formula>0.75</formula>
    </cfRule>
    <cfRule type="cellIs" dxfId="11602" priority="14545" operator="greaterThan">
      <formula>1</formula>
    </cfRule>
    <cfRule type="cellIs" dxfId="11601" priority="14546" operator="between">
      <formula>0.95</formula>
      <formula>1</formula>
    </cfRule>
    <cfRule type="cellIs" dxfId="11600" priority="14547" stopIfTrue="1" operator="between">
      <formula>0</formula>
      <formula>0.5</formula>
    </cfRule>
  </conditionalFormatting>
  <conditionalFormatting sqref="I69">
    <cfRule type="cellIs" dxfId="11599" priority="14538" operator="between">
      <formula>0.76</formula>
      <formula>0.95</formula>
    </cfRule>
    <cfRule type="cellIs" dxfId="11598" priority="14539" operator="between">
      <formula>0.51</formula>
      <formula>0.75</formula>
    </cfRule>
    <cfRule type="cellIs" dxfId="11597" priority="14540" operator="greaterThan">
      <formula>1</formula>
    </cfRule>
    <cfRule type="cellIs" dxfId="11596" priority="14541" operator="between">
      <formula>0.95</formula>
      <formula>1</formula>
    </cfRule>
    <cfRule type="cellIs" dxfId="11595" priority="14542" stopIfTrue="1" operator="between">
      <formula>0</formula>
      <formula>0.5</formula>
    </cfRule>
  </conditionalFormatting>
  <conditionalFormatting sqref="I70">
    <cfRule type="cellIs" dxfId="11594" priority="14533" operator="between">
      <formula>0.76</formula>
      <formula>0.95</formula>
    </cfRule>
    <cfRule type="cellIs" dxfId="11593" priority="14534" operator="between">
      <formula>0.51</formula>
      <formula>0.75</formula>
    </cfRule>
    <cfRule type="cellIs" dxfId="11592" priority="14535" operator="greaterThan">
      <formula>1</formula>
    </cfRule>
    <cfRule type="cellIs" dxfId="11591" priority="14536" operator="between">
      <formula>0.95</formula>
      <formula>1</formula>
    </cfRule>
    <cfRule type="cellIs" dxfId="11590" priority="14537" stopIfTrue="1" operator="between">
      <formula>0</formula>
      <formula>0.5</formula>
    </cfRule>
  </conditionalFormatting>
  <conditionalFormatting sqref="I71">
    <cfRule type="cellIs" dxfId="11589" priority="14528" operator="between">
      <formula>0.76</formula>
      <formula>0.95</formula>
    </cfRule>
    <cfRule type="cellIs" dxfId="11588" priority="14529" operator="between">
      <formula>0.51</formula>
      <formula>0.75</formula>
    </cfRule>
    <cfRule type="cellIs" dxfId="11587" priority="14530" operator="greaterThan">
      <formula>1</formula>
    </cfRule>
    <cfRule type="cellIs" dxfId="11586" priority="14531" operator="between">
      <formula>0.95</formula>
      <formula>1</formula>
    </cfRule>
    <cfRule type="cellIs" dxfId="11585" priority="14532" stopIfTrue="1" operator="between">
      <formula>0</formula>
      <formula>0.5</formula>
    </cfRule>
  </conditionalFormatting>
  <conditionalFormatting sqref="I72">
    <cfRule type="cellIs" dxfId="11584" priority="14523" operator="between">
      <formula>0.76</formula>
      <formula>0.95</formula>
    </cfRule>
    <cfRule type="cellIs" dxfId="11583" priority="14524" operator="between">
      <formula>0.51</formula>
      <formula>0.75</formula>
    </cfRule>
    <cfRule type="cellIs" dxfId="11582" priority="14525" operator="greaterThan">
      <formula>1</formula>
    </cfRule>
    <cfRule type="cellIs" dxfId="11581" priority="14526" operator="between">
      <formula>0.95</formula>
      <formula>1</formula>
    </cfRule>
    <cfRule type="cellIs" dxfId="11580" priority="14527" stopIfTrue="1" operator="between">
      <formula>0</formula>
      <formula>0.5</formula>
    </cfRule>
  </conditionalFormatting>
  <conditionalFormatting sqref="I75">
    <cfRule type="cellIs" dxfId="11579" priority="14518" operator="between">
      <formula>0.76</formula>
      <formula>0.95</formula>
    </cfRule>
    <cfRule type="cellIs" dxfId="11578" priority="14519" operator="between">
      <formula>0.51</formula>
      <formula>0.75</formula>
    </cfRule>
    <cfRule type="cellIs" dxfId="11577" priority="14520" operator="greaterThan">
      <formula>1</formula>
    </cfRule>
    <cfRule type="cellIs" dxfId="11576" priority="14521" operator="between">
      <formula>0.95</formula>
      <formula>1</formula>
    </cfRule>
    <cfRule type="cellIs" dxfId="11575" priority="14522" stopIfTrue="1" operator="between">
      <formula>0</formula>
      <formula>0.5</formula>
    </cfRule>
  </conditionalFormatting>
  <conditionalFormatting sqref="I76">
    <cfRule type="cellIs" dxfId="11574" priority="14513" operator="between">
      <formula>0.76</formula>
      <formula>0.95</formula>
    </cfRule>
    <cfRule type="cellIs" dxfId="11573" priority="14514" operator="between">
      <formula>0.51</formula>
      <formula>0.75</formula>
    </cfRule>
    <cfRule type="cellIs" dxfId="11572" priority="14515" operator="greaterThan">
      <formula>1</formula>
    </cfRule>
    <cfRule type="cellIs" dxfId="11571" priority="14516" operator="between">
      <formula>0.95</formula>
      <formula>1</formula>
    </cfRule>
    <cfRule type="cellIs" dxfId="11570" priority="14517" stopIfTrue="1" operator="between">
      <formula>0</formula>
      <formula>0.5</formula>
    </cfRule>
  </conditionalFormatting>
  <conditionalFormatting sqref="I77">
    <cfRule type="cellIs" dxfId="11569" priority="14508" operator="between">
      <formula>0.76</formula>
      <formula>0.95</formula>
    </cfRule>
    <cfRule type="cellIs" dxfId="11568" priority="14509" operator="between">
      <formula>0.51</formula>
      <formula>0.75</formula>
    </cfRule>
    <cfRule type="cellIs" dxfId="11567" priority="14510" operator="greaterThan">
      <formula>1</formula>
    </cfRule>
    <cfRule type="cellIs" dxfId="11566" priority="14511" operator="between">
      <formula>0.95</formula>
      <formula>1</formula>
    </cfRule>
    <cfRule type="cellIs" dxfId="11565" priority="14512" stopIfTrue="1" operator="between">
      <formula>0</formula>
      <formula>0.5</formula>
    </cfRule>
  </conditionalFormatting>
  <conditionalFormatting sqref="I78">
    <cfRule type="cellIs" dxfId="11564" priority="14503" operator="between">
      <formula>0.76</formula>
      <formula>0.95</formula>
    </cfRule>
    <cfRule type="cellIs" dxfId="11563" priority="14504" operator="between">
      <formula>0.51</formula>
      <formula>0.75</formula>
    </cfRule>
    <cfRule type="cellIs" dxfId="11562" priority="14505" operator="greaterThan">
      <formula>1</formula>
    </cfRule>
    <cfRule type="cellIs" dxfId="11561" priority="14506" operator="between">
      <formula>0.95</formula>
      <formula>1</formula>
    </cfRule>
    <cfRule type="cellIs" dxfId="11560" priority="14507" stopIfTrue="1" operator="between">
      <formula>0</formula>
      <formula>0.5</formula>
    </cfRule>
  </conditionalFormatting>
  <conditionalFormatting sqref="I81">
    <cfRule type="cellIs" dxfId="11559" priority="14498" operator="between">
      <formula>0.76</formula>
      <formula>0.95</formula>
    </cfRule>
    <cfRule type="cellIs" dxfId="11558" priority="14499" operator="between">
      <formula>0.51</formula>
      <formula>0.75</formula>
    </cfRule>
    <cfRule type="cellIs" dxfId="11557" priority="14500" operator="greaterThan">
      <formula>1</formula>
    </cfRule>
    <cfRule type="cellIs" dxfId="11556" priority="14501" operator="between">
      <formula>0.95</formula>
      <formula>1</formula>
    </cfRule>
    <cfRule type="cellIs" dxfId="11555" priority="14502" stopIfTrue="1" operator="between">
      <formula>0</formula>
      <formula>0.5</formula>
    </cfRule>
  </conditionalFormatting>
  <conditionalFormatting sqref="I82">
    <cfRule type="cellIs" dxfId="11554" priority="14493" operator="between">
      <formula>0.76</formula>
      <formula>0.95</formula>
    </cfRule>
    <cfRule type="cellIs" dxfId="11553" priority="14494" operator="between">
      <formula>0.51</formula>
      <formula>0.75</formula>
    </cfRule>
    <cfRule type="cellIs" dxfId="11552" priority="14495" operator="greaterThan">
      <formula>1</formula>
    </cfRule>
    <cfRule type="cellIs" dxfId="11551" priority="14496" operator="between">
      <formula>0.95</formula>
      <formula>1</formula>
    </cfRule>
    <cfRule type="cellIs" dxfId="11550" priority="14497" stopIfTrue="1" operator="between">
      <formula>0</formula>
      <formula>0.5</formula>
    </cfRule>
  </conditionalFormatting>
  <conditionalFormatting sqref="I83">
    <cfRule type="cellIs" dxfId="11549" priority="14488" operator="between">
      <formula>0.76</formula>
      <formula>0.95</formula>
    </cfRule>
    <cfRule type="cellIs" dxfId="11548" priority="14489" operator="between">
      <formula>0.51</formula>
      <formula>0.75</formula>
    </cfRule>
    <cfRule type="cellIs" dxfId="11547" priority="14490" operator="greaterThan">
      <formula>1</formula>
    </cfRule>
    <cfRule type="cellIs" dxfId="11546" priority="14491" operator="between">
      <formula>0.95</formula>
      <formula>1</formula>
    </cfRule>
    <cfRule type="cellIs" dxfId="11545" priority="14492" stopIfTrue="1" operator="between">
      <formula>0</formula>
      <formula>0.5</formula>
    </cfRule>
  </conditionalFormatting>
  <conditionalFormatting sqref="I84">
    <cfRule type="cellIs" dxfId="11544" priority="14483" operator="between">
      <formula>0.76</formula>
      <formula>0.95</formula>
    </cfRule>
    <cfRule type="cellIs" dxfId="11543" priority="14484" operator="between">
      <formula>0.51</formula>
      <formula>0.75</formula>
    </cfRule>
    <cfRule type="cellIs" dxfId="11542" priority="14485" operator="greaterThan">
      <formula>1</formula>
    </cfRule>
    <cfRule type="cellIs" dxfId="11541" priority="14486" operator="between">
      <formula>0.95</formula>
      <formula>1</formula>
    </cfRule>
    <cfRule type="cellIs" dxfId="11540" priority="14487" stopIfTrue="1" operator="between">
      <formula>0</formula>
      <formula>0.5</formula>
    </cfRule>
  </conditionalFormatting>
  <conditionalFormatting sqref="I85">
    <cfRule type="cellIs" dxfId="11539" priority="14478" operator="between">
      <formula>0.76</formula>
      <formula>0.95</formula>
    </cfRule>
    <cfRule type="cellIs" dxfId="11538" priority="14479" operator="between">
      <formula>0.51</formula>
      <formula>0.75</formula>
    </cfRule>
    <cfRule type="cellIs" dxfId="11537" priority="14480" operator="greaterThan">
      <formula>1</formula>
    </cfRule>
    <cfRule type="cellIs" dxfId="11536" priority="14481" operator="between">
      <formula>0.95</formula>
      <formula>1</formula>
    </cfRule>
    <cfRule type="cellIs" dxfId="11535" priority="14482" stopIfTrue="1" operator="between">
      <formula>0</formula>
      <formula>0.5</formula>
    </cfRule>
  </conditionalFormatting>
  <conditionalFormatting sqref="I86">
    <cfRule type="cellIs" dxfId="11534" priority="14473" operator="between">
      <formula>0.76</formula>
      <formula>0.95</formula>
    </cfRule>
    <cfRule type="cellIs" dxfId="11533" priority="14474" operator="between">
      <formula>0.51</formula>
      <formula>0.75</formula>
    </cfRule>
    <cfRule type="cellIs" dxfId="11532" priority="14475" operator="greaterThan">
      <formula>1</formula>
    </cfRule>
    <cfRule type="cellIs" dxfId="11531" priority="14476" operator="between">
      <formula>0.95</formula>
      <formula>1</formula>
    </cfRule>
    <cfRule type="cellIs" dxfId="11530" priority="14477" stopIfTrue="1" operator="between">
      <formula>0</formula>
      <formula>0.5</formula>
    </cfRule>
  </conditionalFormatting>
  <conditionalFormatting sqref="I91">
    <cfRule type="cellIs" dxfId="11529" priority="14468" operator="between">
      <formula>0.76</formula>
      <formula>0.95</formula>
    </cfRule>
    <cfRule type="cellIs" dxfId="11528" priority="14469" operator="between">
      <formula>0.51</formula>
      <formula>0.75</formula>
    </cfRule>
    <cfRule type="cellIs" dxfId="11527" priority="14470" operator="greaterThan">
      <formula>1</formula>
    </cfRule>
    <cfRule type="cellIs" dxfId="11526" priority="14471" operator="between">
      <formula>0.95</formula>
      <formula>1</formula>
    </cfRule>
    <cfRule type="cellIs" dxfId="11525" priority="14472" stopIfTrue="1" operator="between">
      <formula>0</formula>
      <formula>0.5</formula>
    </cfRule>
  </conditionalFormatting>
  <conditionalFormatting sqref="I94">
    <cfRule type="cellIs" dxfId="11524" priority="14463" operator="between">
      <formula>0.76</formula>
      <formula>0.95</formula>
    </cfRule>
    <cfRule type="cellIs" dxfId="11523" priority="14464" operator="between">
      <formula>0.51</formula>
      <formula>0.75</formula>
    </cfRule>
    <cfRule type="cellIs" dxfId="11522" priority="14465" operator="greaterThan">
      <formula>1</formula>
    </cfRule>
    <cfRule type="cellIs" dxfId="11521" priority="14466" operator="between">
      <formula>0.95</formula>
      <formula>1</formula>
    </cfRule>
    <cfRule type="cellIs" dxfId="11520" priority="14467" stopIfTrue="1" operator="between">
      <formula>0</formula>
      <formula>0.5</formula>
    </cfRule>
  </conditionalFormatting>
  <conditionalFormatting sqref="I95">
    <cfRule type="cellIs" dxfId="11519" priority="14458" operator="between">
      <formula>0.76</formula>
      <formula>0.95</formula>
    </cfRule>
    <cfRule type="cellIs" dxfId="11518" priority="14459" operator="between">
      <formula>0.51</formula>
      <formula>0.75</formula>
    </cfRule>
    <cfRule type="cellIs" dxfId="11517" priority="14460" operator="greaterThan">
      <formula>1</formula>
    </cfRule>
    <cfRule type="cellIs" dxfId="11516" priority="14461" operator="between">
      <formula>0.95</formula>
      <formula>1</formula>
    </cfRule>
    <cfRule type="cellIs" dxfId="11515" priority="14462" stopIfTrue="1" operator="between">
      <formula>0</formula>
      <formula>0.5</formula>
    </cfRule>
  </conditionalFormatting>
  <conditionalFormatting sqref="I96">
    <cfRule type="cellIs" dxfId="11514" priority="14453" operator="between">
      <formula>0.76</formula>
      <formula>0.95</formula>
    </cfRule>
    <cfRule type="cellIs" dxfId="11513" priority="14454" operator="between">
      <formula>0.51</formula>
      <formula>0.75</formula>
    </cfRule>
    <cfRule type="cellIs" dxfId="11512" priority="14455" operator="greaterThan">
      <formula>1</formula>
    </cfRule>
    <cfRule type="cellIs" dxfId="11511" priority="14456" operator="between">
      <formula>0.95</formula>
      <formula>1</formula>
    </cfRule>
    <cfRule type="cellIs" dxfId="11510" priority="14457" stopIfTrue="1" operator="between">
      <formula>0</formula>
      <formula>0.5</formula>
    </cfRule>
  </conditionalFormatting>
  <conditionalFormatting sqref="I97">
    <cfRule type="cellIs" dxfId="11509" priority="14448" operator="between">
      <formula>0.76</formula>
      <formula>0.95</formula>
    </cfRule>
    <cfRule type="cellIs" dxfId="11508" priority="14449" operator="between">
      <formula>0.51</formula>
      <formula>0.75</formula>
    </cfRule>
    <cfRule type="cellIs" dxfId="11507" priority="14450" operator="greaterThan">
      <formula>1</formula>
    </cfRule>
    <cfRule type="cellIs" dxfId="11506" priority="14451" operator="between">
      <formula>0.95</formula>
      <formula>1</formula>
    </cfRule>
    <cfRule type="cellIs" dxfId="11505" priority="14452" stopIfTrue="1" operator="between">
      <formula>0</formula>
      <formula>0.5</formula>
    </cfRule>
  </conditionalFormatting>
  <conditionalFormatting sqref="I98">
    <cfRule type="cellIs" dxfId="11504" priority="14443" operator="between">
      <formula>0.76</formula>
      <formula>0.95</formula>
    </cfRule>
    <cfRule type="cellIs" dxfId="11503" priority="14444" operator="between">
      <formula>0.51</formula>
      <formula>0.75</formula>
    </cfRule>
    <cfRule type="cellIs" dxfId="11502" priority="14445" operator="greaterThan">
      <formula>1</formula>
    </cfRule>
    <cfRule type="cellIs" dxfId="11501" priority="14446" operator="between">
      <formula>0.95</formula>
      <formula>1</formula>
    </cfRule>
    <cfRule type="cellIs" dxfId="11500" priority="14447" stopIfTrue="1" operator="between">
      <formula>0</formula>
      <formula>0.5</formula>
    </cfRule>
  </conditionalFormatting>
  <conditionalFormatting sqref="I99">
    <cfRule type="cellIs" dxfId="11499" priority="14438" operator="between">
      <formula>0.76</formula>
      <formula>0.95</formula>
    </cfRule>
    <cfRule type="cellIs" dxfId="11498" priority="14439" operator="between">
      <formula>0.51</formula>
      <formula>0.75</formula>
    </cfRule>
    <cfRule type="cellIs" dxfId="11497" priority="14440" operator="greaterThan">
      <formula>1</formula>
    </cfRule>
    <cfRule type="cellIs" dxfId="11496" priority="14441" operator="between">
      <formula>0.95</formula>
      <formula>1</formula>
    </cfRule>
    <cfRule type="cellIs" dxfId="11495" priority="14442" stopIfTrue="1" operator="between">
      <formula>0</formula>
      <formula>0.5</formula>
    </cfRule>
  </conditionalFormatting>
  <conditionalFormatting sqref="I101">
    <cfRule type="cellIs" dxfId="11494" priority="14433" operator="between">
      <formula>0.76</formula>
      <formula>0.95</formula>
    </cfRule>
    <cfRule type="cellIs" dxfId="11493" priority="14434" operator="between">
      <formula>0.51</formula>
      <formula>0.75</formula>
    </cfRule>
    <cfRule type="cellIs" dxfId="11492" priority="14435" operator="greaterThan">
      <formula>1</formula>
    </cfRule>
    <cfRule type="cellIs" dxfId="11491" priority="14436" operator="between">
      <formula>0.95</formula>
      <formula>1</formula>
    </cfRule>
    <cfRule type="cellIs" dxfId="11490" priority="14437" stopIfTrue="1" operator="between">
      <formula>0</formula>
      <formula>0.5</formula>
    </cfRule>
  </conditionalFormatting>
  <conditionalFormatting sqref="I102">
    <cfRule type="cellIs" dxfId="11489" priority="14423" operator="between">
      <formula>0.76</formula>
      <formula>0.95</formula>
    </cfRule>
    <cfRule type="cellIs" dxfId="11488" priority="14424" operator="between">
      <formula>0.51</formula>
      <formula>0.75</formula>
    </cfRule>
    <cfRule type="cellIs" dxfId="11487" priority="14425" operator="greaterThan">
      <formula>1</formula>
    </cfRule>
    <cfRule type="cellIs" dxfId="11486" priority="14426" operator="between">
      <formula>0.95</formula>
      <formula>1</formula>
    </cfRule>
    <cfRule type="cellIs" dxfId="11485" priority="14427" stopIfTrue="1" operator="between">
      <formula>0</formula>
      <formula>0.5</formula>
    </cfRule>
  </conditionalFormatting>
  <conditionalFormatting sqref="I104">
    <cfRule type="cellIs" dxfId="11484" priority="14413" operator="between">
      <formula>0.76</formula>
      <formula>0.95</formula>
    </cfRule>
    <cfRule type="cellIs" dxfId="11483" priority="14414" operator="between">
      <formula>0.51</formula>
      <formula>0.75</formula>
    </cfRule>
    <cfRule type="cellIs" dxfId="11482" priority="14415" operator="greaterThan">
      <formula>1</formula>
    </cfRule>
    <cfRule type="cellIs" dxfId="11481" priority="14416" operator="between">
      <formula>0.95</formula>
      <formula>1</formula>
    </cfRule>
    <cfRule type="cellIs" dxfId="11480" priority="14417" stopIfTrue="1" operator="between">
      <formula>0</formula>
      <formula>0.5</formula>
    </cfRule>
  </conditionalFormatting>
  <conditionalFormatting sqref="I106">
    <cfRule type="cellIs" dxfId="11479" priority="14403" operator="between">
      <formula>0.76</formula>
      <formula>0.95</formula>
    </cfRule>
    <cfRule type="cellIs" dxfId="11478" priority="14404" operator="between">
      <formula>0.51</formula>
      <formula>0.75</formula>
    </cfRule>
    <cfRule type="cellIs" dxfId="11477" priority="14405" operator="greaterThan">
      <formula>1</formula>
    </cfRule>
    <cfRule type="cellIs" dxfId="11476" priority="14406" operator="between">
      <formula>0.95</formula>
      <formula>1</formula>
    </cfRule>
    <cfRule type="cellIs" dxfId="11475" priority="14407" stopIfTrue="1" operator="between">
      <formula>0</formula>
      <formula>0.5</formula>
    </cfRule>
  </conditionalFormatting>
  <conditionalFormatting sqref="I107">
    <cfRule type="cellIs" dxfId="11474" priority="14398" operator="between">
      <formula>0.76</formula>
      <formula>0.95</formula>
    </cfRule>
    <cfRule type="cellIs" dxfId="11473" priority="14399" operator="between">
      <formula>0.51</formula>
      <formula>0.75</formula>
    </cfRule>
    <cfRule type="cellIs" dxfId="11472" priority="14400" operator="greaterThan">
      <formula>1</formula>
    </cfRule>
    <cfRule type="cellIs" dxfId="11471" priority="14401" operator="between">
      <formula>0.95</formula>
      <formula>1</formula>
    </cfRule>
    <cfRule type="cellIs" dxfId="11470" priority="14402" stopIfTrue="1" operator="between">
      <formula>0</formula>
      <formula>0.5</formula>
    </cfRule>
  </conditionalFormatting>
  <conditionalFormatting sqref="I108">
    <cfRule type="cellIs" dxfId="11469" priority="14393" operator="between">
      <formula>0.76</formula>
      <formula>0.95</formula>
    </cfRule>
    <cfRule type="cellIs" dxfId="11468" priority="14394" operator="between">
      <formula>0.51</formula>
      <formula>0.75</formula>
    </cfRule>
    <cfRule type="cellIs" dxfId="11467" priority="14395" operator="greaterThan">
      <formula>1</formula>
    </cfRule>
    <cfRule type="cellIs" dxfId="11466" priority="14396" operator="between">
      <formula>0.95</formula>
      <formula>1</formula>
    </cfRule>
    <cfRule type="cellIs" dxfId="11465" priority="14397" stopIfTrue="1" operator="between">
      <formula>0</formula>
      <formula>0.5</formula>
    </cfRule>
  </conditionalFormatting>
  <conditionalFormatting sqref="I109">
    <cfRule type="cellIs" dxfId="11464" priority="14388" operator="between">
      <formula>0.76</formula>
      <formula>0.95</formula>
    </cfRule>
    <cfRule type="cellIs" dxfId="11463" priority="14389" operator="between">
      <formula>0.51</formula>
      <formula>0.75</formula>
    </cfRule>
    <cfRule type="cellIs" dxfId="11462" priority="14390" operator="greaterThan">
      <formula>1</formula>
    </cfRule>
    <cfRule type="cellIs" dxfId="11461" priority="14391" operator="between">
      <formula>0.95</formula>
      <formula>1</formula>
    </cfRule>
    <cfRule type="cellIs" dxfId="11460" priority="14392" stopIfTrue="1" operator="between">
      <formula>0</formula>
      <formula>0.5</formula>
    </cfRule>
  </conditionalFormatting>
  <conditionalFormatting sqref="I110">
    <cfRule type="cellIs" dxfId="11459" priority="14383" operator="between">
      <formula>0.76</formula>
      <formula>0.95</formula>
    </cfRule>
    <cfRule type="cellIs" dxfId="11458" priority="14384" operator="between">
      <formula>0.51</formula>
      <formula>0.75</formula>
    </cfRule>
    <cfRule type="cellIs" dxfId="11457" priority="14385" operator="greaterThan">
      <formula>1</formula>
    </cfRule>
    <cfRule type="cellIs" dxfId="11456" priority="14386" operator="between">
      <formula>0.95</formula>
      <formula>1</formula>
    </cfRule>
    <cfRule type="cellIs" dxfId="11455" priority="14387" stopIfTrue="1" operator="between">
      <formula>0</formula>
      <formula>0.5</formula>
    </cfRule>
  </conditionalFormatting>
  <conditionalFormatting sqref="I111">
    <cfRule type="cellIs" dxfId="11454" priority="14378" operator="between">
      <formula>0.76</formula>
      <formula>0.95</formula>
    </cfRule>
    <cfRule type="cellIs" dxfId="11453" priority="14379" operator="between">
      <formula>0.51</formula>
      <formula>0.75</formula>
    </cfRule>
    <cfRule type="cellIs" dxfId="11452" priority="14380" operator="greaterThan">
      <formula>1</formula>
    </cfRule>
    <cfRule type="cellIs" dxfId="11451" priority="14381" operator="between">
      <formula>0.95</formula>
      <formula>1</formula>
    </cfRule>
    <cfRule type="cellIs" dxfId="11450" priority="14382" stopIfTrue="1" operator="between">
      <formula>0</formula>
      <formula>0.5</formula>
    </cfRule>
  </conditionalFormatting>
  <conditionalFormatting sqref="I112">
    <cfRule type="cellIs" dxfId="11449" priority="14373" operator="between">
      <formula>0.76</formula>
      <formula>0.95</formula>
    </cfRule>
    <cfRule type="cellIs" dxfId="11448" priority="14374" operator="between">
      <formula>0.51</formula>
      <formula>0.75</formula>
    </cfRule>
    <cfRule type="cellIs" dxfId="11447" priority="14375" operator="greaterThan">
      <formula>1</formula>
    </cfRule>
    <cfRule type="cellIs" dxfId="11446" priority="14376" operator="between">
      <formula>0.95</formula>
      <formula>1</formula>
    </cfRule>
    <cfRule type="cellIs" dxfId="11445" priority="14377" stopIfTrue="1" operator="between">
      <formula>0</formula>
      <formula>0.5</formula>
    </cfRule>
  </conditionalFormatting>
  <conditionalFormatting sqref="I114">
    <cfRule type="cellIs" dxfId="11444" priority="14368" operator="between">
      <formula>0.76</formula>
      <formula>0.95</formula>
    </cfRule>
    <cfRule type="cellIs" dxfId="11443" priority="14369" operator="between">
      <formula>0.51</formula>
      <formula>0.75</formula>
    </cfRule>
    <cfRule type="cellIs" dxfId="11442" priority="14370" operator="greaterThan">
      <formula>1</formula>
    </cfRule>
    <cfRule type="cellIs" dxfId="11441" priority="14371" operator="between">
      <formula>0.95</formula>
      <formula>1</formula>
    </cfRule>
    <cfRule type="cellIs" dxfId="11440" priority="14372" stopIfTrue="1" operator="between">
      <formula>0</formula>
      <formula>0.5</formula>
    </cfRule>
  </conditionalFormatting>
  <conditionalFormatting sqref="I115">
    <cfRule type="cellIs" dxfId="11439" priority="14363" operator="between">
      <formula>0.76</formula>
      <formula>0.95</formula>
    </cfRule>
    <cfRule type="cellIs" dxfId="11438" priority="14364" operator="between">
      <formula>0.51</formula>
      <formula>0.75</formula>
    </cfRule>
    <cfRule type="cellIs" dxfId="11437" priority="14365" operator="greaterThan">
      <formula>1</formula>
    </cfRule>
    <cfRule type="cellIs" dxfId="11436" priority="14366" operator="between">
      <formula>0.95</formula>
      <formula>1</formula>
    </cfRule>
    <cfRule type="cellIs" dxfId="11435" priority="14367" stopIfTrue="1" operator="between">
      <formula>0</formula>
      <formula>0.5</formula>
    </cfRule>
  </conditionalFormatting>
  <conditionalFormatting sqref="I116">
    <cfRule type="cellIs" dxfId="11434" priority="14358" operator="between">
      <formula>0.76</formula>
      <formula>0.95</formula>
    </cfRule>
    <cfRule type="cellIs" dxfId="11433" priority="14359" operator="between">
      <formula>0.51</formula>
      <formula>0.75</formula>
    </cfRule>
    <cfRule type="cellIs" dxfId="11432" priority="14360" operator="greaterThan">
      <formula>1</formula>
    </cfRule>
    <cfRule type="cellIs" dxfId="11431" priority="14361" operator="between">
      <formula>0.95</formula>
      <formula>1</formula>
    </cfRule>
    <cfRule type="cellIs" dxfId="11430" priority="14362" stopIfTrue="1" operator="between">
      <formula>0</formula>
      <formula>0.5</formula>
    </cfRule>
  </conditionalFormatting>
  <conditionalFormatting sqref="I117">
    <cfRule type="cellIs" dxfId="11429" priority="14348" operator="between">
      <formula>0.76</formula>
      <formula>0.95</formula>
    </cfRule>
    <cfRule type="cellIs" dxfId="11428" priority="14349" operator="between">
      <formula>0.51</formula>
      <formula>0.75</formula>
    </cfRule>
    <cfRule type="cellIs" dxfId="11427" priority="14350" operator="greaterThan">
      <formula>1</formula>
    </cfRule>
    <cfRule type="cellIs" dxfId="11426" priority="14351" operator="between">
      <formula>0.95</formula>
      <formula>1</formula>
    </cfRule>
    <cfRule type="cellIs" dxfId="11425" priority="14352" stopIfTrue="1" operator="between">
      <formula>0</formula>
      <formula>0.5</formula>
    </cfRule>
  </conditionalFormatting>
  <conditionalFormatting sqref="I121">
    <cfRule type="cellIs" dxfId="11424" priority="14343" operator="between">
      <formula>0.76</formula>
      <formula>0.95</formula>
    </cfRule>
    <cfRule type="cellIs" dxfId="11423" priority="14344" operator="between">
      <formula>0.51</formula>
      <formula>0.75</formula>
    </cfRule>
    <cfRule type="cellIs" dxfId="11422" priority="14345" operator="greaterThan">
      <formula>1</formula>
    </cfRule>
    <cfRule type="cellIs" dxfId="11421" priority="14346" operator="between">
      <formula>0.95</formula>
      <formula>1</formula>
    </cfRule>
    <cfRule type="cellIs" dxfId="11420" priority="14347" stopIfTrue="1" operator="between">
      <formula>0</formula>
      <formula>0.5</formula>
    </cfRule>
  </conditionalFormatting>
  <conditionalFormatting sqref="I122">
    <cfRule type="cellIs" dxfId="11419" priority="14338" operator="between">
      <formula>0.76</formula>
      <formula>0.95</formula>
    </cfRule>
    <cfRule type="cellIs" dxfId="11418" priority="14339" operator="between">
      <formula>0.51</formula>
      <formula>0.75</formula>
    </cfRule>
    <cfRule type="cellIs" dxfId="11417" priority="14340" operator="greaterThan">
      <formula>1</formula>
    </cfRule>
    <cfRule type="cellIs" dxfId="11416" priority="14341" operator="between">
      <formula>0.95</formula>
      <formula>1</formula>
    </cfRule>
    <cfRule type="cellIs" dxfId="11415" priority="14342" stopIfTrue="1" operator="between">
      <formula>0</formula>
      <formula>0.5</formula>
    </cfRule>
  </conditionalFormatting>
  <conditionalFormatting sqref="I123">
    <cfRule type="cellIs" dxfId="11414" priority="14333" operator="between">
      <formula>0.76</formula>
      <formula>0.95</formula>
    </cfRule>
    <cfRule type="cellIs" dxfId="11413" priority="14334" operator="between">
      <formula>0.51</formula>
      <formula>0.75</formula>
    </cfRule>
    <cfRule type="cellIs" dxfId="11412" priority="14335" operator="greaterThan">
      <formula>1</formula>
    </cfRule>
    <cfRule type="cellIs" dxfId="11411" priority="14336" operator="between">
      <formula>0.95</formula>
      <formula>1</formula>
    </cfRule>
    <cfRule type="cellIs" dxfId="11410" priority="14337" stopIfTrue="1" operator="between">
      <formula>0</formula>
      <formula>0.5</formula>
    </cfRule>
  </conditionalFormatting>
  <conditionalFormatting sqref="I124">
    <cfRule type="cellIs" dxfId="11409" priority="14328" operator="between">
      <formula>0.76</formula>
      <formula>0.95</formula>
    </cfRule>
    <cfRule type="cellIs" dxfId="11408" priority="14329" operator="between">
      <formula>0.51</formula>
      <formula>0.75</formula>
    </cfRule>
    <cfRule type="cellIs" dxfId="11407" priority="14330" operator="greaterThan">
      <formula>1</formula>
    </cfRule>
    <cfRule type="cellIs" dxfId="11406" priority="14331" operator="between">
      <formula>0.95</formula>
      <formula>1</formula>
    </cfRule>
    <cfRule type="cellIs" dxfId="11405" priority="14332" stopIfTrue="1" operator="between">
      <formula>0</formula>
      <formula>0.5</formula>
    </cfRule>
  </conditionalFormatting>
  <conditionalFormatting sqref="I125">
    <cfRule type="cellIs" dxfId="11404" priority="14323" operator="between">
      <formula>0.76</formula>
      <formula>0.95</formula>
    </cfRule>
    <cfRule type="cellIs" dxfId="11403" priority="14324" operator="between">
      <formula>0.51</formula>
      <formula>0.75</formula>
    </cfRule>
    <cfRule type="cellIs" dxfId="11402" priority="14325" operator="greaterThan">
      <formula>1</formula>
    </cfRule>
    <cfRule type="cellIs" dxfId="11401" priority="14326" operator="between">
      <formula>0.95</formula>
      <formula>1</formula>
    </cfRule>
    <cfRule type="cellIs" dxfId="11400" priority="14327" stopIfTrue="1" operator="between">
      <formula>0</formula>
      <formula>0.5</formula>
    </cfRule>
  </conditionalFormatting>
  <conditionalFormatting sqref="I126">
    <cfRule type="cellIs" dxfId="11399" priority="14318" operator="between">
      <formula>0.76</formula>
      <formula>0.95</formula>
    </cfRule>
    <cfRule type="cellIs" dxfId="11398" priority="14319" operator="between">
      <formula>0.51</formula>
      <formula>0.75</formula>
    </cfRule>
    <cfRule type="cellIs" dxfId="11397" priority="14320" operator="greaterThan">
      <formula>1</formula>
    </cfRule>
    <cfRule type="cellIs" dxfId="11396" priority="14321" operator="between">
      <formula>0.95</formula>
      <formula>1</formula>
    </cfRule>
    <cfRule type="cellIs" dxfId="11395" priority="14322" stopIfTrue="1" operator="between">
      <formula>0</formula>
      <formula>0.5</formula>
    </cfRule>
  </conditionalFormatting>
  <conditionalFormatting sqref="I127">
    <cfRule type="cellIs" dxfId="11394" priority="14313" operator="between">
      <formula>0.76</formula>
      <formula>0.95</formula>
    </cfRule>
    <cfRule type="cellIs" dxfId="11393" priority="14314" operator="between">
      <formula>0.51</formula>
      <formula>0.75</formula>
    </cfRule>
    <cfRule type="cellIs" dxfId="11392" priority="14315" operator="greaterThan">
      <formula>1</formula>
    </cfRule>
    <cfRule type="cellIs" dxfId="11391" priority="14316" operator="between">
      <formula>0.95</formula>
      <formula>1</formula>
    </cfRule>
    <cfRule type="cellIs" dxfId="11390" priority="14317" stopIfTrue="1" operator="between">
      <formula>0</formula>
      <formula>0.5</formula>
    </cfRule>
  </conditionalFormatting>
  <conditionalFormatting sqref="I128">
    <cfRule type="cellIs" dxfId="11389" priority="14308" operator="between">
      <formula>0.76</formula>
      <formula>0.95</formula>
    </cfRule>
    <cfRule type="cellIs" dxfId="11388" priority="14309" operator="between">
      <formula>0.51</formula>
      <formula>0.75</formula>
    </cfRule>
    <cfRule type="cellIs" dxfId="11387" priority="14310" operator="greaterThan">
      <formula>1</formula>
    </cfRule>
    <cfRule type="cellIs" dxfId="11386" priority="14311" operator="between">
      <formula>0.95</formula>
      <formula>1</formula>
    </cfRule>
    <cfRule type="cellIs" dxfId="11385" priority="14312" stopIfTrue="1" operator="between">
      <formula>0</formula>
      <formula>0.5</formula>
    </cfRule>
  </conditionalFormatting>
  <conditionalFormatting sqref="I129">
    <cfRule type="cellIs" dxfId="11384" priority="14303" operator="between">
      <formula>0.76</formula>
      <formula>0.95</formula>
    </cfRule>
    <cfRule type="cellIs" dxfId="11383" priority="14304" operator="between">
      <formula>0.51</formula>
      <formula>0.75</formula>
    </cfRule>
    <cfRule type="cellIs" dxfId="11382" priority="14305" operator="greaterThan">
      <formula>1</formula>
    </cfRule>
    <cfRule type="cellIs" dxfId="11381" priority="14306" operator="between">
      <formula>0.95</formula>
      <formula>1</formula>
    </cfRule>
    <cfRule type="cellIs" dxfId="11380" priority="14307" stopIfTrue="1" operator="between">
      <formula>0</formula>
      <formula>0.5</formula>
    </cfRule>
  </conditionalFormatting>
  <conditionalFormatting sqref="I130">
    <cfRule type="cellIs" dxfId="11379" priority="14298" operator="between">
      <formula>0.76</formula>
      <formula>0.95</formula>
    </cfRule>
    <cfRule type="cellIs" dxfId="11378" priority="14299" operator="between">
      <formula>0.51</formula>
      <formula>0.75</formula>
    </cfRule>
    <cfRule type="cellIs" dxfId="11377" priority="14300" operator="greaterThan">
      <formula>1</formula>
    </cfRule>
    <cfRule type="cellIs" dxfId="11376" priority="14301" operator="between">
      <formula>0.95</formula>
      <formula>1</formula>
    </cfRule>
    <cfRule type="cellIs" dxfId="11375" priority="14302" stopIfTrue="1" operator="between">
      <formula>0</formula>
      <formula>0.5</formula>
    </cfRule>
  </conditionalFormatting>
  <conditionalFormatting sqref="I131">
    <cfRule type="cellIs" dxfId="11374" priority="14293" operator="between">
      <formula>0.76</formula>
      <formula>0.95</formula>
    </cfRule>
    <cfRule type="cellIs" dxfId="11373" priority="14294" operator="between">
      <formula>0.51</formula>
      <formula>0.75</formula>
    </cfRule>
    <cfRule type="cellIs" dxfId="11372" priority="14295" operator="greaterThan">
      <formula>1</formula>
    </cfRule>
    <cfRule type="cellIs" dxfId="11371" priority="14296" operator="between">
      <formula>0.95</formula>
      <formula>1</formula>
    </cfRule>
    <cfRule type="cellIs" dxfId="11370" priority="14297" stopIfTrue="1" operator="between">
      <formula>0</formula>
      <formula>0.5</formula>
    </cfRule>
  </conditionalFormatting>
  <conditionalFormatting sqref="I132">
    <cfRule type="cellIs" dxfId="11369" priority="14288" operator="between">
      <formula>0.76</formula>
      <formula>0.95</formula>
    </cfRule>
    <cfRule type="cellIs" dxfId="11368" priority="14289" operator="between">
      <formula>0.51</formula>
      <formula>0.75</formula>
    </cfRule>
    <cfRule type="cellIs" dxfId="11367" priority="14290" operator="greaterThan">
      <formula>1</formula>
    </cfRule>
    <cfRule type="cellIs" dxfId="11366" priority="14291" operator="between">
      <formula>0.95</formula>
      <formula>1</formula>
    </cfRule>
    <cfRule type="cellIs" dxfId="11365" priority="14292" stopIfTrue="1" operator="between">
      <formula>0</formula>
      <formula>0.5</formula>
    </cfRule>
  </conditionalFormatting>
  <conditionalFormatting sqref="I133">
    <cfRule type="cellIs" dxfId="11364" priority="14283" operator="between">
      <formula>0.76</formula>
      <formula>0.95</formula>
    </cfRule>
    <cfRule type="cellIs" dxfId="11363" priority="14284" operator="between">
      <formula>0.51</formula>
      <formula>0.75</formula>
    </cfRule>
    <cfRule type="cellIs" dxfId="11362" priority="14285" operator="greaterThan">
      <formula>1</formula>
    </cfRule>
    <cfRule type="cellIs" dxfId="11361" priority="14286" operator="between">
      <formula>0.95</formula>
      <formula>1</formula>
    </cfRule>
    <cfRule type="cellIs" dxfId="11360" priority="14287" stopIfTrue="1" operator="between">
      <formula>0</formula>
      <formula>0.5</formula>
    </cfRule>
  </conditionalFormatting>
  <conditionalFormatting sqref="I134">
    <cfRule type="cellIs" dxfId="11359" priority="14278" operator="between">
      <formula>0.76</formula>
      <formula>0.95</formula>
    </cfRule>
    <cfRule type="cellIs" dxfId="11358" priority="14279" operator="between">
      <formula>0.51</formula>
      <formula>0.75</formula>
    </cfRule>
    <cfRule type="cellIs" dxfId="11357" priority="14280" operator="greaterThan">
      <formula>1</formula>
    </cfRule>
    <cfRule type="cellIs" dxfId="11356" priority="14281" operator="between">
      <formula>0.95</formula>
      <formula>1</formula>
    </cfRule>
    <cfRule type="cellIs" dxfId="11355" priority="14282" stopIfTrue="1" operator="between">
      <formula>0</formula>
      <formula>0.5</formula>
    </cfRule>
  </conditionalFormatting>
  <conditionalFormatting sqref="I135">
    <cfRule type="cellIs" dxfId="11354" priority="14273" operator="between">
      <formula>0.76</formula>
      <formula>0.95</formula>
    </cfRule>
    <cfRule type="cellIs" dxfId="11353" priority="14274" operator="between">
      <formula>0.51</formula>
      <formula>0.75</formula>
    </cfRule>
    <cfRule type="cellIs" dxfId="11352" priority="14275" operator="greaterThan">
      <formula>1</formula>
    </cfRule>
    <cfRule type="cellIs" dxfId="11351" priority="14276" operator="between">
      <formula>0.95</formula>
      <formula>1</formula>
    </cfRule>
    <cfRule type="cellIs" dxfId="11350" priority="14277" stopIfTrue="1" operator="between">
      <formula>0</formula>
      <formula>0.5</formula>
    </cfRule>
  </conditionalFormatting>
  <conditionalFormatting sqref="I136">
    <cfRule type="cellIs" dxfId="11349" priority="14268" operator="between">
      <formula>0.76</formula>
      <formula>0.95</formula>
    </cfRule>
    <cfRule type="cellIs" dxfId="11348" priority="14269" operator="between">
      <formula>0.51</formula>
      <formula>0.75</formula>
    </cfRule>
    <cfRule type="cellIs" dxfId="11347" priority="14270" operator="greaterThan">
      <formula>1</formula>
    </cfRule>
    <cfRule type="cellIs" dxfId="11346" priority="14271" operator="between">
      <formula>0.95</formula>
      <formula>1</formula>
    </cfRule>
    <cfRule type="cellIs" dxfId="11345" priority="14272" stopIfTrue="1" operator="between">
      <formula>0</formula>
      <formula>0.5</formula>
    </cfRule>
  </conditionalFormatting>
  <conditionalFormatting sqref="I137">
    <cfRule type="cellIs" dxfId="11344" priority="14263" operator="between">
      <formula>0.76</formula>
      <formula>0.95</formula>
    </cfRule>
    <cfRule type="cellIs" dxfId="11343" priority="14264" operator="between">
      <formula>0.51</formula>
      <formula>0.75</formula>
    </cfRule>
    <cfRule type="cellIs" dxfId="11342" priority="14265" operator="greaterThan">
      <formula>1</formula>
    </cfRule>
    <cfRule type="cellIs" dxfId="11341" priority="14266" operator="between">
      <formula>0.95</formula>
      <formula>1</formula>
    </cfRule>
    <cfRule type="cellIs" dxfId="11340" priority="14267" stopIfTrue="1" operator="between">
      <formula>0</formula>
      <formula>0.5</formula>
    </cfRule>
  </conditionalFormatting>
  <conditionalFormatting sqref="I138">
    <cfRule type="cellIs" dxfId="11339" priority="14258" operator="between">
      <formula>0.76</formula>
      <formula>0.95</formula>
    </cfRule>
    <cfRule type="cellIs" dxfId="11338" priority="14259" operator="between">
      <formula>0.51</formula>
      <formula>0.75</formula>
    </cfRule>
    <cfRule type="cellIs" dxfId="11337" priority="14260" operator="greaterThan">
      <formula>1</formula>
    </cfRule>
    <cfRule type="cellIs" dxfId="11336" priority="14261" operator="between">
      <formula>0.95</formula>
      <formula>1</formula>
    </cfRule>
    <cfRule type="cellIs" dxfId="11335" priority="14262" stopIfTrue="1" operator="between">
      <formula>0</formula>
      <formula>0.5</formula>
    </cfRule>
  </conditionalFormatting>
  <conditionalFormatting sqref="I139">
    <cfRule type="cellIs" dxfId="11334" priority="14253" operator="between">
      <formula>0.76</formula>
      <formula>0.95</formula>
    </cfRule>
    <cfRule type="cellIs" dxfId="11333" priority="14254" operator="between">
      <formula>0.51</formula>
      <formula>0.75</formula>
    </cfRule>
    <cfRule type="cellIs" dxfId="11332" priority="14255" operator="greaterThan">
      <formula>1</formula>
    </cfRule>
    <cfRule type="cellIs" dxfId="11331" priority="14256" operator="between">
      <formula>0.95</formula>
      <formula>1</formula>
    </cfRule>
    <cfRule type="cellIs" dxfId="11330" priority="14257" stopIfTrue="1" operator="between">
      <formula>0</formula>
      <formula>0.5</formula>
    </cfRule>
  </conditionalFormatting>
  <conditionalFormatting sqref="I140">
    <cfRule type="cellIs" dxfId="11329" priority="14248" operator="between">
      <formula>0.76</formula>
      <formula>0.95</formula>
    </cfRule>
    <cfRule type="cellIs" dxfId="11328" priority="14249" operator="between">
      <formula>0.51</formula>
      <formula>0.75</formula>
    </cfRule>
    <cfRule type="cellIs" dxfId="11327" priority="14250" operator="greaterThan">
      <formula>1</formula>
    </cfRule>
    <cfRule type="cellIs" dxfId="11326" priority="14251" operator="between">
      <formula>0.95</formula>
      <formula>1</formula>
    </cfRule>
    <cfRule type="cellIs" dxfId="11325" priority="14252" stopIfTrue="1" operator="between">
      <formula>0</formula>
      <formula>0.5</formula>
    </cfRule>
  </conditionalFormatting>
  <conditionalFormatting sqref="I142">
    <cfRule type="cellIs" dxfId="11324" priority="14243" operator="between">
      <formula>0.76</formula>
      <formula>0.95</formula>
    </cfRule>
    <cfRule type="cellIs" dxfId="11323" priority="14244" operator="between">
      <formula>0.51</formula>
      <formula>0.75</formula>
    </cfRule>
    <cfRule type="cellIs" dxfId="11322" priority="14245" operator="greaterThan">
      <formula>1</formula>
    </cfRule>
    <cfRule type="cellIs" dxfId="11321" priority="14246" operator="between">
      <formula>0.95</formula>
      <formula>1</formula>
    </cfRule>
    <cfRule type="cellIs" dxfId="11320" priority="14247" stopIfTrue="1" operator="between">
      <formula>0</formula>
      <formula>0.5</formula>
    </cfRule>
  </conditionalFormatting>
  <conditionalFormatting sqref="I143">
    <cfRule type="cellIs" dxfId="11319" priority="14238" operator="between">
      <formula>0.76</formula>
      <formula>0.95</formula>
    </cfRule>
    <cfRule type="cellIs" dxfId="11318" priority="14239" operator="between">
      <formula>0.51</formula>
      <formula>0.75</formula>
    </cfRule>
    <cfRule type="cellIs" dxfId="11317" priority="14240" operator="greaterThan">
      <formula>1</formula>
    </cfRule>
    <cfRule type="cellIs" dxfId="11316" priority="14241" operator="between">
      <formula>0.95</formula>
      <formula>1</formula>
    </cfRule>
    <cfRule type="cellIs" dxfId="11315" priority="14242" stopIfTrue="1" operator="between">
      <formula>0</formula>
      <formula>0.5</formula>
    </cfRule>
  </conditionalFormatting>
  <conditionalFormatting sqref="I144">
    <cfRule type="cellIs" dxfId="11314" priority="14233" operator="between">
      <formula>0.76</formula>
      <formula>0.95</formula>
    </cfRule>
    <cfRule type="cellIs" dxfId="11313" priority="14234" operator="between">
      <formula>0.51</formula>
      <formula>0.75</formula>
    </cfRule>
    <cfRule type="cellIs" dxfId="11312" priority="14235" operator="greaterThan">
      <formula>1</formula>
    </cfRule>
    <cfRule type="cellIs" dxfId="11311" priority="14236" operator="between">
      <formula>0.95</formula>
      <formula>1</formula>
    </cfRule>
    <cfRule type="cellIs" dxfId="11310" priority="14237" stopIfTrue="1" operator="between">
      <formula>0</formula>
      <formula>0.5</formula>
    </cfRule>
  </conditionalFormatting>
  <conditionalFormatting sqref="I145">
    <cfRule type="cellIs" dxfId="11309" priority="14228" operator="between">
      <formula>0.76</formula>
      <formula>0.95</formula>
    </cfRule>
    <cfRule type="cellIs" dxfId="11308" priority="14229" operator="between">
      <formula>0.51</formula>
      <formula>0.75</formula>
    </cfRule>
    <cfRule type="cellIs" dxfId="11307" priority="14230" operator="greaterThan">
      <formula>1</formula>
    </cfRule>
    <cfRule type="cellIs" dxfId="11306" priority="14231" operator="between">
      <formula>0.95</formula>
      <formula>1</formula>
    </cfRule>
    <cfRule type="cellIs" dxfId="11305" priority="14232" stopIfTrue="1" operator="between">
      <formula>0</formula>
      <formula>0.5</formula>
    </cfRule>
  </conditionalFormatting>
  <conditionalFormatting sqref="I146">
    <cfRule type="cellIs" dxfId="11304" priority="14223" operator="between">
      <formula>0.76</formula>
      <formula>0.95</formula>
    </cfRule>
    <cfRule type="cellIs" dxfId="11303" priority="14224" operator="between">
      <formula>0.51</formula>
      <formula>0.75</formula>
    </cfRule>
    <cfRule type="cellIs" dxfId="11302" priority="14225" operator="greaterThan">
      <formula>1</formula>
    </cfRule>
    <cfRule type="cellIs" dxfId="11301" priority="14226" operator="between">
      <formula>0.95</formula>
      <formula>1</formula>
    </cfRule>
    <cfRule type="cellIs" dxfId="11300" priority="14227" stopIfTrue="1" operator="between">
      <formula>0</formula>
      <formula>0.5</formula>
    </cfRule>
  </conditionalFormatting>
  <conditionalFormatting sqref="I147">
    <cfRule type="cellIs" dxfId="11299" priority="14218" operator="between">
      <formula>0.76</formula>
      <formula>0.95</formula>
    </cfRule>
    <cfRule type="cellIs" dxfId="11298" priority="14219" operator="between">
      <formula>0.51</formula>
      <formula>0.75</formula>
    </cfRule>
    <cfRule type="cellIs" dxfId="11297" priority="14220" operator="greaterThan">
      <formula>1</formula>
    </cfRule>
    <cfRule type="cellIs" dxfId="11296" priority="14221" operator="between">
      <formula>0.95</formula>
      <formula>1</formula>
    </cfRule>
    <cfRule type="cellIs" dxfId="11295" priority="14222" stopIfTrue="1" operator="between">
      <formula>0</formula>
      <formula>0.5</formula>
    </cfRule>
  </conditionalFormatting>
  <conditionalFormatting sqref="I148">
    <cfRule type="cellIs" dxfId="11294" priority="14213" operator="between">
      <formula>0.76</formula>
      <formula>0.95</formula>
    </cfRule>
    <cfRule type="cellIs" dxfId="11293" priority="14214" operator="between">
      <formula>0.51</formula>
      <formula>0.75</formula>
    </cfRule>
    <cfRule type="cellIs" dxfId="11292" priority="14215" operator="greaterThan">
      <formula>1</formula>
    </cfRule>
    <cfRule type="cellIs" dxfId="11291" priority="14216" operator="between">
      <formula>0.95</formula>
      <formula>1</formula>
    </cfRule>
    <cfRule type="cellIs" dxfId="11290" priority="14217" stopIfTrue="1" operator="between">
      <formula>0</formula>
      <formula>0.5</formula>
    </cfRule>
  </conditionalFormatting>
  <conditionalFormatting sqref="I149">
    <cfRule type="cellIs" dxfId="11289" priority="14208" operator="between">
      <formula>0.76</formula>
      <formula>0.95</formula>
    </cfRule>
    <cfRule type="cellIs" dxfId="11288" priority="14209" operator="between">
      <formula>0.51</formula>
      <formula>0.75</formula>
    </cfRule>
    <cfRule type="cellIs" dxfId="11287" priority="14210" operator="greaterThan">
      <formula>1</formula>
    </cfRule>
    <cfRule type="cellIs" dxfId="11286" priority="14211" operator="between">
      <formula>0.95</formula>
      <formula>1</formula>
    </cfRule>
    <cfRule type="cellIs" dxfId="11285" priority="14212" stopIfTrue="1" operator="between">
      <formula>0</formula>
      <formula>0.5</formula>
    </cfRule>
  </conditionalFormatting>
  <conditionalFormatting sqref="I150">
    <cfRule type="cellIs" dxfId="11284" priority="14203" operator="between">
      <formula>0.76</formula>
      <formula>0.95</formula>
    </cfRule>
    <cfRule type="cellIs" dxfId="11283" priority="14204" operator="between">
      <formula>0.51</formula>
      <formula>0.75</formula>
    </cfRule>
    <cfRule type="cellIs" dxfId="11282" priority="14205" operator="greaterThan">
      <formula>1</formula>
    </cfRule>
    <cfRule type="cellIs" dxfId="11281" priority="14206" operator="between">
      <formula>0.95</formula>
      <formula>1</formula>
    </cfRule>
    <cfRule type="cellIs" dxfId="11280" priority="14207" stopIfTrue="1" operator="between">
      <formula>0</formula>
      <formula>0.5</formula>
    </cfRule>
  </conditionalFormatting>
  <conditionalFormatting sqref="I151">
    <cfRule type="cellIs" dxfId="11279" priority="14198" operator="between">
      <formula>0.76</formula>
      <formula>0.95</formula>
    </cfRule>
    <cfRule type="cellIs" dxfId="11278" priority="14199" operator="between">
      <formula>0.51</formula>
      <formula>0.75</formula>
    </cfRule>
    <cfRule type="cellIs" dxfId="11277" priority="14200" operator="greaterThan">
      <formula>1</formula>
    </cfRule>
    <cfRule type="cellIs" dxfId="11276" priority="14201" operator="between">
      <formula>0.95</formula>
      <formula>1</formula>
    </cfRule>
    <cfRule type="cellIs" dxfId="11275" priority="14202" stopIfTrue="1" operator="between">
      <formula>0</formula>
      <formula>0.5</formula>
    </cfRule>
  </conditionalFormatting>
  <conditionalFormatting sqref="I152">
    <cfRule type="cellIs" dxfId="11274" priority="14193" operator="between">
      <formula>0.76</formula>
      <formula>0.95</formula>
    </cfRule>
    <cfRule type="cellIs" dxfId="11273" priority="14194" operator="between">
      <formula>0.51</formula>
      <formula>0.75</formula>
    </cfRule>
    <cfRule type="cellIs" dxfId="11272" priority="14195" operator="greaterThan">
      <formula>1</formula>
    </cfRule>
    <cfRule type="cellIs" dxfId="11271" priority="14196" operator="between">
      <formula>0.95</formula>
      <formula>1</formula>
    </cfRule>
    <cfRule type="cellIs" dxfId="11270" priority="14197" stopIfTrue="1" operator="between">
      <formula>0</formula>
      <formula>0.5</formula>
    </cfRule>
  </conditionalFormatting>
  <conditionalFormatting sqref="I153">
    <cfRule type="cellIs" dxfId="11269" priority="14188" operator="between">
      <formula>0.76</formula>
      <formula>0.95</formula>
    </cfRule>
    <cfRule type="cellIs" dxfId="11268" priority="14189" operator="between">
      <formula>0.51</formula>
      <formula>0.75</formula>
    </cfRule>
    <cfRule type="cellIs" dxfId="11267" priority="14190" operator="greaterThan">
      <formula>1</formula>
    </cfRule>
    <cfRule type="cellIs" dxfId="11266" priority="14191" operator="between">
      <formula>0.95</formula>
      <formula>1</formula>
    </cfRule>
    <cfRule type="cellIs" dxfId="11265" priority="14192" stopIfTrue="1" operator="between">
      <formula>0</formula>
      <formula>0.5</formula>
    </cfRule>
  </conditionalFormatting>
  <conditionalFormatting sqref="I154">
    <cfRule type="cellIs" dxfId="11264" priority="14183" operator="between">
      <formula>0.76</formula>
      <formula>0.95</formula>
    </cfRule>
    <cfRule type="cellIs" dxfId="11263" priority="14184" operator="between">
      <formula>0.51</formula>
      <formula>0.75</formula>
    </cfRule>
    <cfRule type="cellIs" dxfId="11262" priority="14185" operator="greaterThan">
      <formula>1</formula>
    </cfRule>
    <cfRule type="cellIs" dxfId="11261" priority="14186" operator="between">
      <formula>0.95</formula>
      <formula>1</formula>
    </cfRule>
    <cfRule type="cellIs" dxfId="11260" priority="14187" stopIfTrue="1" operator="between">
      <formula>0</formula>
      <formula>0.5</formula>
    </cfRule>
  </conditionalFormatting>
  <conditionalFormatting sqref="I155">
    <cfRule type="cellIs" dxfId="11259" priority="14178" operator="between">
      <formula>0.76</formula>
      <formula>0.95</formula>
    </cfRule>
    <cfRule type="cellIs" dxfId="11258" priority="14179" operator="between">
      <formula>0.51</formula>
      <formula>0.75</formula>
    </cfRule>
    <cfRule type="cellIs" dxfId="11257" priority="14180" operator="greaterThan">
      <formula>1</formula>
    </cfRule>
    <cfRule type="cellIs" dxfId="11256" priority="14181" operator="between">
      <formula>0.95</formula>
      <formula>1</formula>
    </cfRule>
    <cfRule type="cellIs" dxfId="11255" priority="14182" stopIfTrue="1" operator="between">
      <formula>0</formula>
      <formula>0.5</formula>
    </cfRule>
  </conditionalFormatting>
  <conditionalFormatting sqref="I156">
    <cfRule type="cellIs" dxfId="11254" priority="14173" operator="between">
      <formula>0.76</formula>
      <formula>0.95</formula>
    </cfRule>
    <cfRule type="cellIs" dxfId="11253" priority="14174" operator="between">
      <formula>0.51</formula>
      <formula>0.75</formula>
    </cfRule>
    <cfRule type="cellIs" dxfId="11252" priority="14175" operator="greaterThan">
      <formula>1</formula>
    </cfRule>
    <cfRule type="cellIs" dxfId="11251" priority="14176" operator="between">
      <formula>0.95</formula>
      <formula>1</formula>
    </cfRule>
    <cfRule type="cellIs" dxfId="11250" priority="14177" stopIfTrue="1" operator="between">
      <formula>0</formula>
      <formula>0.5</formula>
    </cfRule>
  </conditionalFormatting>
  <conditionalFormatting sqref="I157">
    <cfRule type="cellIs" dxfId="11249" priority="14168" operator="between">
      <formula>0.76</formula>
      <formula>0.95</formula>
    </cfRule>
    <cfRule type="cellIs" dxfId="11248" priority="14169" operator="between">
      <formula>0.51</formula>
      <formula>0.75</formula>
    </cfRule>
    <cfRule type="cellIs" dxfId="11247" priority="14170" operator="greaterThan">
      <formula>1</formula>
    </cfRule>
    <cfRule type="cellIs" dxfId="11246" priority="14171" operator="between">
      <formula>0.95</formula>
      <formula>1</formula>
    </cfRule>
    <cfRule type="cellIs" dxfId="11245" priority="14172" stopIfTrue="1" operator="between">
      <formula>0</formula>
      <formula>0.5</formula>
    </cfRule>
  </conditionalFormatting>
  <conditionalFormatting sqref="I158">
    <cfRule type="cellIs" dxfId="11244" priority="14163" operator="between">
      <formula>0.76</formula>
      <formula>0.95</formula>
    </cfRule>
    <cfRule type="cellIs" dxfId="11243" priority="14164" operator="between">
      <formula>0.51</formula>
      <formula>0.75</formula>
    </cfRule>
    <cfRule type="cellIs" dxfId="11242" priority="14165" operator="greaterThan">
      <formula>1</formula>
    </cfRule>
    <cfRule type="cellIs" dxfId="11241" priority="14166" operator="between">
      <formula>0.95</formula>
      <formula>1</formula>
    </cfRule>
    <cfRule type="cellIs" dxfId="11240" priority="14167" stopIfTrue="1" operator="between">
      <formula>0</formula>
      <formula>0.5</formula>
    </cfRule>
  </conditionalFormatting>
  <conditionalFormatting sqref="I159">
    <cfRule type="cellIs" dxfId="11239" priority="14158" operator="between">
      <formula>0.76</formula>
      <formula>0.95</formula>
    </cfRule>
    <cfRule type="cellIs" dxfId="11238" priority="14159" operator="between">
      <formula>0.51</formula>
      <formula>0.75</formula>
    </cfRule>
    <cfRule type="cellIs" dxfId="11237" priority="14160" operator="greaterThan">
      <formula>1</formula>
    </cfRule>
    <cfRule type="cellIs" dxfId="11236" priority="14161" operator="between">
      <formula>0.95</formula>
      <formula>1</formula>
    </cfRule>
    <cfRule type="cellIs" dxfId="11235" priority="14162" stopIfTrue="1" operator="between">
      <formula>0</formula>
      <formula>0.5</formula>
    </cfRule>
  </conditionalFormatting>
  <conditionalFormatting sqref="I160">
    <cfRule type="cellIs" dxfId="11234" priority="14153" operator="between">
      <formula>0.76</formula>
      <formula>0.95</formula>
    </cfRule>
    <cfRule type="cellIs" dxfId="11233" priority="14154" operator="between">
      <formula>0.51</formula>
      <formula>0.75</formula>
    </cfRule>
    <cfRule type="cellIs" dxfId="11232" priority="14155" operator="greaterThan">
      <formula>1</formula>
    </cfRule>
    <cfRule type="cellIs" dxfId="11231" priority="14156" operator="between">
      <formula>0.95</formula>
      <formula>1</formula>
    </cfRule>
    <cfRule type="cellIs" dxfId="11230" priority="14157" stopIfTrue="1" operator="between">
      <formula>0</formula>
      <formula>0.5</formula>
    </cfRule>
  </conditionalFormatting>
  <conditionalFormatting sqref="I161">
    <cfRule type="cellIs" dxfId="11229" priority="14148" operator="between">
      <formula>0.76</formula>
      <formula>0.95</formula>
    </cfRule>
    <cfRule type="cellIs" dxfId="11228" priority="14149" operator="between">
      <formula>0.51</formula>
      <formula>0.75</formula>
    </cfRule>
    <cfRule type="cellIs" dxfId="11227" priority="14150" operator="greaterThan">
      <formula>1</formula>
    </cfRule>
    <cfRule type="cellIs" dxfId="11226" priority="14151" operator="between">
      <formula>0.95</formula>
      <formula>1</formula>
    </cfRule>
    <cfRule type="cellIs" dxfId="11225" priority="14152" stopIfTrue="1" operator="between">
      <formula>0</formula>
      <formula>0.5</formula>
    </cfRule>
  </conditionalFormatting>
  <conditionalFormatting sqref="I162">
    <cfRule type="cellIs" dxfId="11224" priority="14143" operator="between">
      <formula>0.76</formula>
      <formula>0.95</formula>
    </cfRule>
    <cfRule type="cellIs" dxfId="11223" priority="14144" operator="between">
      <formula>0.51</formula>
      <formula>0.75</formula>
    </cfRule>
    <cfRule type="cellIs" dxfId="11222" priority="14145" operator="greaterThan">
      <formula>1</formula>
    </cfRule>
    <cfRule type="cellIs" dxfId="11221" priority="14146" operator="between">
      <formula>0.95</formula>
      <formula>1</formula>
    </cfRule>
    <cfRule type="cellIs" dxfId="11220" priority="14147" stopIfTrue="1" operator="between">
      <formula>0</formula>
      <formula>0.5</formula>
    </cfRule>
  </conditionalFormatting>
  <conditionalFormatting sqref="I163">
    <cfRule type="cellIs" dxfId="11219" priority="14138" operator="between">
      <formula>0.76</formula>
      <formula>0.95</formula>
    </cfRule>
    <cfRule type="cellIs" dxfId="11218" priority="14139" operator="between">
      <formula>0.51</formula>
      <formula>0.75</formula>
    </cfRule>
    <cfRule type="cellIs" dxfId="11217" priority="14140" operator="greaterThan">
      <formula>1</formula>
    </cfRule>
    <cfRule type="cellIs" dxfId="11216" priority="14141" operator="between">
      <formula>0.95</formula>
      <formula>1</formula>
    </cfRule>
    <cfRule type="cellIs" dxfId="11215" priority="14142" stopIfTrue="1" operator="between">
      <formula>0</formula>
      <formula>0.5</formula>
    </cfRule>
  </conditionalFormatting>
  <conditionalFormatting sqref="I164">
    <cfRule type="cellIs" dxfId="11214" priority="14133" operator="between">
      <formula>0.76</formula>
      <formula>0.95</formula>
    </cfRule>
    <cfRule type="cellIs" dxfId="11213" priority="14134" operator="between">
      <formula>0.51</formula>
      <formula>0.75</formula>
    </cfRule>
    <cfRule type="cellIs" dxfId="11212" priority="14135" operator="greaterThan">
      <formula>1</formula>
    </cfRule>
    <cfRule type="cellIs" dxfId="11211" priority="14136" operator="between">
      <formula>0.95</formula>
      <formula>1</formula>
    </cfRule>
    <cfRule type="cellIs" dxfId="11210" priority="14137" stopIfTrue="1" operator="between">
      <formula>0</formula>
      <formula>0.5</formula>
    </cfRule>
  </conditionalFormatting>
  <conditionalFormatting sqref="I165">
    <cfRule type="cellIs" dxfId="11209" priority="14128" operator="between">
      <formula>0.76</formula>
      <formula>0.95</formula>
    </cfRule>
    <cfRule type="cellIs" dxfId="11208" priority="14129" operator="between">
      <formula>0.51</formula>
      <formula>0.75</formula>
    </cfRule>
    <cfRule type="cellIs" dxfId="11207" priority="14130" operator="greaterThan">
      <formula>1</formula>
    </cfRule>
    <cfRule type="cellIs" dxfId="11206" priority="14131" operator="between">
      <formula>0.95</formula>
      <formula>1</formula>
    </cfRule>
    <cfRule type="cellIs" dxfId="11205" priority="14132" stopIfTrue="1" operator="between">
      <formula>0</formula>
      <formula>0.5</formula>
    </cfRule>
  </conditionalFormatting>
  <conditionalFormatting sqref="I166">
    <cfRule type="cellIs" dxfId="11204" priority="14123" operator="between">
      <formula>0.76</formula>
      <formula>0.95</formula>
    </cfRule>
    <cfRule type="cellIs" dxfId="11203" priority="14124" operator="between">
      <formula>0.51</formula>
      <formula>0.75</formula>
    </cfRule>
    <cfRule type="cellIs" dxfId="11202" priority="14125" operator="greaterThan">
      <formula>1</formula>
    </cfRule>
    <cfRule type="cellIs" dxfId="11201" priority="14126" operator="between">
      <formula>0.95</formula>
      <formula>1</formula>
    </cfRule>
    <cfRule type="cellIs" dxfId="11200" priority="14127" stopIfTrue="1" operator="between">
      <formula>0</formula>
      <formula>0.5</formula>
    </cfRule>
  </conditionalFormatting>
  <conditionalFormatting sqref="I167">
    <cfRule type="cellIs" dxfId="11199" priority="14118" operator="between">
      <formula>0.76</formula>
      <formula>0.95</formula>
    </cfRule>
    <cfRule type="cellIs" dxfId="11198" priority="14119" operator="between">
      <formula>0.51</formula>
      <formula>0.75</formula>
    </cfRule>
    <cfRule type="cellIs" dxfId="11197" priority="14120" operator="greaterThan">
      <formula>1</formula>
    </cfRule>
    <cfRule type="cellIs" dxfId="11196" priority="14121" operator="between">
      <formula>0.95</formula>
      <formula>1</formula>
    </cfRule>
    <cfRule type="cellIs" dxfId="11195" priority="14122" stopIfTrue="1" operator="between">
      <formula>0</formula>
      <formula>0.5</formula>
    </cfRule>
  </conditionalFormatting>
  <conditionalFormatting sqref="I168">
    <cfRule type="cellIs" dxfId="11194" priority="14113" operator="between">
      <formula>0.76</formula>
      <formula>0.95</formula>
    </cfRule>
    <cfRule type="cellIs" dxfId="11193" priority="14114" operator="between">
      <formula>0.51</formula>
      <formula>0.75</formula>
    </cfRule>
    <cfRule type="cellIs" dxfId="11192" priority="14115" operator="greaterThan">
      <formula>1</formula>
    </cfRule>
    <cfRule type="cellIs" dxfId="11191" priority="14116" operator="between">
      <formula>0.95</formula>
      <formula>1</formula>
    </cfRule>
    <cfRule type="cellIs" dxfId="11190" priority="14117" stopIfTrue="1" operator="between">
      <formula>0</formula>
      <formula>0.5</formula>
    </cfRule>
  </conditionalFormatting>
  <conditionalFormatting sqref="I169">
    <cfRule type="cellIs" dxfId="11189" priority="14108" operator="between">
      <formula>0.76</formula>
      <formula>0.95</formula>
    </cfRule>
    <cfRule type="cellIs" dxfId="11188" priority="14109" operator="between">
      <formula>0.51</formula>
      <formula>0.75</formula>
    </cfRule>
    <cfRule type="cellIs" dxfId="11187" priority="14110" operator="greaterThan">
      <formula>1</formula>
    </cfRule>
    <cfRule type="cellIs" dxfId="11186" priority="14111" operator="between">
      <formula>0.95</formula>
      <formula>1</formula>
    </cfRule>
    <cfRule type="cellIs" dxfId="11185" priority="14112" stopIfTrue="1" operator="between">
      <formula>0</formula>
      <formula>0.5</formula>
    </cfRule>
  </conditionalFormatting>
  <conditionalFormatting sqref="I170">
    <cfRule type="cellIs" dxfId="11184" priority="14103" operator="between">
      <formula>0.76</formula>
      <formula>0.95</formula>
    </cfRule>
    <cfRule type="cellIs" dxfId="11183" priority="14104" operator="between">
      <formula>0.51</formula>
      <formula>0.75</formula>
    </cfRule>
    <cfRule type="cellIs" dxfId="11182" priority="14105" operator="greaterThan">
      <formula>1</formula>
    </cfRule>
    <cfRule type="cellIs" dxfId="11181" priority="14106" operator="between">
      <formula>0.95</formula>
      <formula>1</formula>
    </cfRule>
    <cfRule type="cellIs" dxfId="11180" priority="14107" stopIfTrue="1" operator="between">
      <formula>0</formula>
      <formula>0.5</formula>
    </cfRule>
  </conditionalFormatting>
  <conditionalFormatting sqref="I171">
    <cfRule type="cellIs" dxfId="11179" priority="14098" operator="between">
      <formula>0.76</formula>
      <formula>0.95</formula>
    </cfRule>
    <cfRule type="cellIs" dxfId="11178" priority="14099" operator="between">
      <formula>0.51</formula>
      <formula>0.75</formula>
    </cfRule>
    <cfRule type="cellIs" dxfId="11177" priority="14100" operator="greaterThan">
      <formula>1</formula>
    </cfRule>
    <cfRule type="cellIs" dxfId="11176" priority="14101" operator="between">
      <formula>0.95</formula>
      <formula>1</formula>
    </cfRule>
    <cfRule type="cellIs" dxfId="11175" priority="14102" stopIfTrue="1" operator="between">
      <formula>0</formula>
      <formula>0.5</formula>
    </cfRule>
  </conditionalFormatting>
  <conditionalFormatting sqref="I172">
    <cfRule type="cellIs" dxfId="11174" priority="14093" operator="between">
      <formula>0.76</formula>
      <formula>0.95</formula>
    </cfRule>
    <cfRule type="cellIs" dxfId="11173" priority="14094" operator="between">
      <formula>0.51</formula>
      <formula>0.75</formula>
    </cfRule>
    <cfRule type="cellIs" dxfId="11172" priority="14095" operator="greaterThan">
      <formula>1</formula>
    </cfRule>
    <cfRule type="cellIs" dxfId="11171" priority="14096" operator="between">
      <formula>0.95</formula>
      <formula>1</formula>
    </cfRule>
    <cfRule type="cellIs" dxfId="11170" priority="14097" stopIfTrue="1" operator="between">
      <formula>0</formula>
      <formula>0.5</formula>
    </cfRule>
  </conditionalFormatting>
  <conditionalFormatting sqref="I173">
    <cfRule type="cellIs" dxfId="11169" priority="14083" operator="between">
      <formula>0.76</formula>
      <formula>0.95</formula>
    </cfRule>
    <cfRule type="cellIs" dxfId="11168" priority="14084" operator="between">
      <formula>0.51</formula>
      <formula>0.75</formula>
    </cfRule>
    <cfRule type="cellIs" dxfId="11167" priority="14085" operator="greaterThan">
      <formula>1</formula>
    </cfRule>
    <cfRule type="cellIs" dxfId="11166" priority="14086" operator="between">
      <formula>0.95</formula>
      <formula>1</formula>
    </cfRule>
    <cfRule type="cellIs" dxfId="11165" priority="14087" stopIfTrue="1" operator="between">
      <formula>0</formula>
      <formula>0.5</formula>
    </cfRule>
  </conditionalFormatting>
  <conditionalFormatting sqref="I174">
    <cfRule type="cellIs" dxfId="11164" priority="14078" operator="between">
      <formula>0.76</formula>
      <formula>0.95</formula>
    </cfRule>
    <cfRule type="cellIs" dxfId="11163" priority="14079" operator="between">
      <formula>0.51</formula>
      <formula>0.75</formula>
    </cfRule>
    <cfRule type="cellIs" dxfId="11162" priority="14080" operator="greaterThan">
      <formula>1</formula>
    </cfRule>
    <cfRule type="cellIs" dxfId="11161" priority="14081" operator="between">
      <formula>0.95</formula>
      <formula>1</formula>
    </cfRule>
    <cfRule type="cellIs" dxfId="11160" priority="14082" stopIfTrue="1" operator="between">
      <formula>0</formula>
      <formula>0.5</formula>
    </cfRule>
  </conditionalFormatting>
  <conditionalFormatting sqref="I175">
    <cfRule type="cellIs" dxfId="11159" priority="14073" operator="between">
      <formula>0.76</formula>
      <formula>0.95</formula>
    </cfRule>
    <cfRule type="cellIs" dxfId="11158" priority="14074" operator="between">
      <formula>0.51</formula>
      <formula>0.75</formula>
    </cfRule>
    <cfRule type="cellIs" dxfId="11157" priority="14075" operator="greaterThan">
      <formula>1</formula>
    </cfRule>
    <cfRule type="cellIs" dxfId="11156" priority="14076" operator="between">
      <formula>0.95</formula>
      <formula>1</formula>
    </cfRule>
    <cfRule type="cellIs" dxfId="11155" priority="14077" stopIfTrue="1" operator="between">
      <formula>0</formula>
      <formula>0.5</formula>
    </cfRule>
  </conditionalFormatting>
  <conditionalFormatting sqref="I176">
    <cfRule type="cellIs" dxfId="11154" priority="14068" operator="between">
      <formula>0.76</formula>
      <formula>0.95</formula>
    </cfRule>
    <cfRule type="cellIs" dxfId="11153" priority="14069" operator="between">
      <formula>0.51</formula>
      <formula>0.75</formula>
    </cfRule>
    <cfRule type="cellIs" dxfId="11152" priority="14070" operator="greaterThan">
      <formula>1</formula>
    </cfRule>
    <cfRule type="cellIs" dxfId="11151" priority="14071" operator="between">
      <formula>0.95</formula>
      <formula>1</formula>
    </cfRule>
    <cfRule type="cellIs" dxfId="11150" priority="14072" stopIfTrue="1" operator="between">
      <formula>0</formula>
      <formula>0.5</formula>
    </cfRule>
  </conditionalFormatting>
  <conditionalFormatting sqref="I177">
    <cfRule type="cellIs" dxfId="11149" priority="14063" operator="between">
      <formula>0.76</formula>
      <formula>0.95</formula>
    </cfRule>
    <cfRule type="cellIs" dxfId="11148" priority="14064" operator="between">
      <formula>0.51</formula>
      <formula>0.75</formula>
    </cfRule>
    <cfRule type="cellIs" dxfId="11147" priority="14065" operator="greaterThan">
      <formula>1</formula>
    </cfRule>
    <cfRule type="cellIs" dxfId="11146" priority="14066" operator="between">
      <formula>0.95</formula>
      <formula>1</formula>
    </cfRule>
    <cfRule type="cellIs" dxfId="11145" priority="14067" stopIfTrue="1" operator="between">
      <formula>0</formula>
      <formula>0.5</formula>
    </cfRule>
  </conditionalFormatting>
  <conditionalFormatting sqref="I179">
    <cfRule type="cellIs" dxfId="11144" priority="14058" operator="between">
      <formula>0.76</formula>
      <formula>0.95</formula>
    </cfRule>
    <cfRule type="cellIs" dxfId="11143" priority="14059" operator="between">
      <formula>0.51</formula>
      <formula>0.75</formula>
    </cfRule>
    <cfRule type="cellIs" dxfId="11142" priority="14060" operator="greaterThan">
      <formula>1</formula>
    </cfRule>
    <cfRule type="cellIs" dxfId="11141" priority="14061" operator="between">
      <formula>0.95</formula>
      <formula>1</formula>
    </cfRule>
    <cfRule type="cellIs" dxfId="11140" priority="14062" stopIfTrue="1" operator="between">
      <formula>0</formula>
      <formula>0.5</formula>
    </cfRule>
  </conditionalFormatting>
  <conditionalFormatting sqref="I178">
    <cfRule type="cellIs" dxfId="11139" priority="14053" operator="between">
      <formula>0.76</formula>
      <formula>0.95</formula>
    </cfRule>
    <cfRule type="cellIs" dxfId="11138" priority="14054" operator="between">
      <formula>0.51</formula>
      <formula>0.75</formula>
    </cfRule>
    <cfRule type="cellIs" dxfId="11137" priority="14055" operator="greaterThan">
      <formula>1</formula>
    </cfRule>
    <cfRule type="cellIs" dxfId="11136" priority="14056" operator="between">
      <formula>0.95</formula>
      <formula>1</formula>
    </cfRule>
    <cfRule type="cellIs" dxfId="11135" priority="14057" stopIfTrue="1" operator="between">
      <formula>0</formula>
      <formula>0.5</formula>
    </cfRule>
  </conditionalFormatting>
  <conditionalFormatting sqref="I180">
    <cfRule type="cellIs" dxfId="11134" priority="14048" operator="between">
      <formula>0.76</formula>
      <formula>0.95</formula>
    </cfRule>
    <cfRule type="cellIs" dxfId="11133" priority="14049" operator="between">
      <formula>0.51</formula>
      <formula>0.75</formula>
    </cfRule>
    <cfRule type="cellIs" dxfId="11132" priority="14050" operator="greaterThan">
      <formula>1</formula>
    </cfRule>
    <cfRule type="cellIs" dxfId="11131" priority="14051" operator="between">
      <formula>0.95</formula>
      <formula>1</formula>
    </cfRule>
    <cfRule type="cellIs" dxfId="11130" priority="14052" stopIfTrue="1" operator="between">
      <formula>0</formula>
      <formula>0.5</formula>
    </cfRule>
  </conditionalFormatting>
  <conditionalFormatting sqref="I181">
    <cfRule type="cellIs" dxfId="11129" priority="14043" operator="between">
      <formula>0.76</formula>
      <formula>0.95</formula>
    </cfRule>
    <cfRule type="cellIs" dxfId="11128" priority="14044" operator="between">
      <formula>0.51</formula>
      <formula>0.75</formula>
    </cfRule>
    <cfRule type="cellIs" dxfId="11127" priority="14045" operator="greaterThan">
      <formula>1</formula>
    </cfRule>
    <cfRule type="cellIs" dxfId="11126" priority="14046" operator="between">
      <formula>0.95</formula>
      <formula>1</formula>
    </cfRule>
    <cfRule type="cellIs" dxfId="11125" priority="14047" stopIfTrue="1" operator="between">
      <formula>0</formula>
      <formula>0.5</formula>
    </cfRule>
  </conditionalFormatting>
  <conditionalFormatting sqref="I182">
    <cfRule type="cellIs" dxfId="11124" priority="14038" operator="between">
      <formula>0.76</formula>
      <formula>0.95</formula>
    </cfRule>
    <cfRule type="cellIs" dxfId="11123" priority="14039" operator="between">
      <formula>0.51</formula>
      <formula>0.75</formula>
    </cfRule>
    <cfRule type="cellIs" dxfId="11122" priority="14040" operator="greaterThan">
      <formula>1</formula>
    </cfRule>
    <cfRule type="cellIs" dxfId="11121" priority="14041" operator="between">
      <formula>0.95</formula>
      <formula>1</formula>
    </cfRule>
    <cfRule type="cellIs" dxfId="11120" priority="14042" stopIfTrue="1" operator="between">
      <formula>0</formula>
      <formula>0.5</formula>
    </cfRule>
  </conditionalFormatting>
  <conditionalFormatting sqref="I183">
    <cfRule type="cellIs" dxfId="11119" priority="14033" operator="between">
      <formula>0.76</formula>
      <formula>0.95</formula>
    </cfRule>
    <cfRule type="cellIs" dxfId="11118" priority="14034" operator="between">
      <formula>0.51</formula>
      <formula>0.75</formula>
    </cfRule>
    <cfRule type="cellIs" dxfId="11117" priority="14035" operator="greaterThan">
      <formula>1</formula>
    </cfRule>
    <cfRule type="cellIs" dxfId="11116" priority="14036" operator="between">
      <formula>0.95</formula>
      <formula>1</formula>
    </cfRule>
    <cfRule type="cellIs" dxfId="11115" priority="14037" stopIfTrue="1" operator="between">
      <formula>0</formula>
      <formula>0.5</formula>
    </cfRule>
  </conditionalFormatting>
  <conditionalFormatting sqref="I184">
    <cfRule type="cellIs" dxfId="11114" priority="14028" operator="between">
      <formula>0.76</formula>
      <formula>0.95</formula>
    </cfRule>
    <cfRule type="cellIs" dxfId="11113" priority="14029" operator="between">
      <formula>0.51</formula>
      <formula>0.75</formula>
    </cfRule>
    <cfRule type="cellIs" dxfId="11112" priority="14030" operator="greaterThan">
      <formula>1</formula>
    </cfRule>
    <cfRule type="cellIs" dxfId="11111" priority="14031" operator="between">
      <formula>0.95</formula>
      <formula>1</formula>
    </cfRule>
    <cfRule type="cellIs" dxfId="11110" priority="14032" stopIfTrue="1" operator="between">
      <formula>0</formula>
      <formula>0.5</formula>
    </cfRule>
  </conditionalFormatting>
  <conditionalFormatting sqref="I185">
    <cfRule type="cellIs" dxfId="11109" priority="14023" operator="between">
      <formula>0.76</formula>
      <formula>0.95</formula>
    </cfRule>
    <cfRule type="cellIs" dxfId="11108" priority="14024" operator="between">
      <formula>0.51</formula>
      <formula>0.75</formula>
    </cfRule>
    <cfRule type="cellIs" dxfId="11107" priority="14025" operator="greaterThan">
      <formula>1</formula>
    </cfRule>
    <cfRule type="cellIs" dxfId="11106" priority="14026" operator="between">
      <formula>0.95</formula>
      <formula>1</formula>
    </cfRule>
    <cfRule type="cellIs" dxfId="11105" priority="14027" stopIfTrue="1" operator="between">
      <formula>0</formula>
      <formula>0.5</formula>
    </cfRule>
  </conditionalFormatting>
  <conditionalFormatting sqref="I186">
    <cfRule type="cellIs" dxfId="11104" priority="14018" operator="between">
      <formula>0.76</formula>
      <formula>0.95</formula>
    </cfRule>
    <cfRule type="cellIs" dxfId="11103" priority="14019" operator="between">
      <formula>0.51</formula>
      <formula>0.75</formula>
    </cfRule>
    <cfRule type="cellIs" dxfId="11102" priority="14020" operator="greaterThan">
      <formula>1</formula>
    </cfRule>
    <cfRule type="cellIs" dxfId="11101" priority="14021" operator="between">
      <formula>0.95</formula>
      <formula>1</formula>
    </cfRule>
    <cfRule type="cellIs" dxfId="11100" priority="14022" stopIfTrue="1" operator="between">
      <formula>0</formula>
      <formula>0.5</formula>
    </cfRule>
  </conditionalFormatting>
  <conditionalFormatting sqref="I187">
    <cfRule type="cellIs" dxfId="11099" priority="14013" operator="between">
      <formula>0.76</formula>
      <formula>0.95</formula>
    </cfRule>
    <cfRule type="cellIs" dxfId="11098" priority="14014" operator="between">
      <formula>0.51</formula>
      <formula>0.75</formula>
    </cfRule>
    <cfRule type="cellIs" dxfId="11097" priority="14015" operator="greaterThan">
      <formula>1</formula>
    </cfRule>
    <cfRule type="cellIs" dxfId="11096" priority="14016" operator="between">
      <formula>0.95</formula>
      <formula>1</formula>
    </cfRule>
    <cfRule type="cellIs" dxfId="11095" priority="14017" stopIfTrue="1" operator="between">
      <formula>0</formula>
      <formula>0.5</formula>
    </cfRule>
  </conditionalFormatting>
  <conditionalFormatting sqref="I188">
    <cfRule type="cellIs" dxfId="11094" priority="14008" operator="between">
      <formula>0.76</formula>
      <formula>0.95</formula>
    </cfRule>
    <cfRule type="cellIs" dxfId="11093" priority="14009" operator="between">
      <formula>0.51</formula>
      <formula>0.75</formula>
    </cfRule>
    <cfRule type="cellIs" dxfId="11092" priority="14010" operator="greaterThan">
      <formula>1</formula>
    </cfRule>
    <cfRule type="cellIs" dxfId="11091" priority="14011" operator="between">
      <formula>0.95</formula>
      <formula>1</formula>
    </cfRule>
    <cfRule type="cellIs" dxfId="11090" priority="14012" stopIfTrue="1" operator="between">
      <formula>0</formula>
      <formula>0.5</formula>
    </cfRule>
  </conditionalFormatting>
  <conditionalFormatting sqref="I190">
    <cfRule type="cellIs" dxfId="11089" priority="14003" operator="between">
      <formula>0.76</formula>
      <formula>0.95</formula>
    </cfRule>
    <cfRule type="cellIs" dxfId="11088" priority="14004" operator="between">
      <formula>0.51</formula>
      <formula>0.75</formula>
    </cfRule>
    <cfRule type="cellIs" dxfId="11087" priority="14005" operator="greaterThan">
      <formula>1</formula>
    </cfRule>
    <cfRule type="cellIs" dxfId="11086" priority="14006" operator="between">
      <formula>0.95</formula>
      <formula>1</formula>
    </cfRule>
    <cfRule type="cellIs" dxfId="11085" priority="14007" stopIfTrue="1" operator="between">
      <formula>0</formula>
      <formula>0.5</formula>
    </cfRule>
  </conditionalFormatting>
  <conditionalFormatting sqref="I189">
    <cfRule type="cellIs" dxfId="11084" priority="13998" operator="between">
      <formula>0.76</formula>
      <formula>0.95</formula>
    </cfRule>
    <cfRule type="cellIs" dxfId="11083" priority="13999" operator="between">
      <formula>0.51</formula>
      <formula>0.75</formula>
    </cfRule>
    <cfRule type="cellIs" dxfId="11082" priority="14000" operator="greaterThan">
      <formula>1</formula>
    </cfRule>
    <cfRule type="cellIs" dxfId="11081" priority="14001" operator="between">
      <formula>0.95</formula>
      <formula>1</formula>
    </cfRule>
    <cfRule type="cellIs" dxfId="11080" priority="14002" stopIfTrue="1" operator="between">
      <formula>0</formula>
      <formula>0.5</formula>
    </cfRule>
  </conditionalFormatting>
  <conditionalFormatting sqref="I191">
    <cfRule type="cellIs" dxfId="11079" priority="13993" operator="between">
      <formula>0.76</formula>
      <formula>0.95</formula>
    </cfRule>
    <cfRule type="cellIs" dxfId="11078" priority="13994" operator="between">
      <formula>0.51</formula>
      <formula>0.75</formula>
    </cfRule>
    <cfRule type="cellIs" dxfId="11077" priority="13995" operator="greaterThan">
      <formula>1</formula>
    </cfRule>
    <cfRule type="cellIs" dxfId="11076" priority="13996" operator="between">
      <formula>0.95</formula>
      <formula>1</formula>
    </cfRule>
    <cfRule type="cellIs" dxfId="11075" priority="13997" stopIfTrue="1" operator="between">
      <formula>0</formula>
      <formula>0.5</formula>
    </cfRule>
  </conditionalFormatting>
  <conditionalFormatting sqref="I192">
    <cfRule type="cellIs" dxfId="11074" priority="13988" operator="between">
      <formula>0.76</formula>
      <formula>0.95</formula>
    </cfRule>
    <cfRule type="cellIs" dxfId="11073" priority="13989" operator="between">
      <formula>0.51</formula>
      <formula>0.75</formula>
    </cfRule>
    <cfRule type="cellIs" dxfId="11072" priority="13990" operator="greaterThan">
      <formula>1</formula>
    </cfRule>
    <cfRule type="cellIs" dxfId="11071" priority="13991" operator="between">
      <formula>0.95</formula>
      <formula>1</formula>
    </cfRule>
    <cfRule type="cellIs" dxfId="11070" priority="13992" stopIfTrue="1" operator="between">
      <formula>0</formula>
      <formula>0.5</formula>
    </cfRule>
  </conditionalFormatting>
  <conditionalFormatting sqref="I195">
    <cfRule type="cellIs" dxfId="11069" priority="13983" operator="between">
      <formula>0.76</formula>
      <formula>0.95</formula>
    </cfRule>
    <cfRule type="cellIs" dxfId="11068" priority="13984" operator="between">
      <formula>0.51</formula>
      <formula>0.75</formula>
    </cfRule>
    <cfRule type="cellIs" dxfId="11067" priority="13985" operator="greaterThan">
      <formula>1</formula>
    </cfRule>
    <cfRule type="cellIs" dxfId="11066" priority="13986" operator="between">
      <formula>0.95</formula>
      <formula>1</formula>
    </cfRule>
    <cfRule type="cellIs" dxfId="11065" priority="13987" stopIfTrue="1" operator="between">
      <formula>0</formula>
      <formula>0.5</formula>
    </cfRule>
  </conditionalFormatting>
  <conditionalFormatting sqref="I196">
    <cfRule type="cellIs" dxfId="11064" priority="13978" operator="between">
      <formula>0.76</formula>
      <formula>0.95</formula>
    </cfRule>
    <cfRule type="cellIs" dxfId="11063" priority="13979" operator="between">
      <formula>0.51</formula>
      <formula>0.75</formula>
    </cfRule>
    <cfRule type="cellIs" dxfId="11062" priority="13980" operator="greaterThan">
      <formula>1</formula>
    </cfRule>
    <cfRule type="cellIs" dxfId="11061" priority="13981" operator="between">
      <formula>0.95</formula>
      <formula>1</formula>
    </cfRule>
    <cfRule type="cellIs" dxfId="11060" priority="13982" stopIfTrue="1" operator="between">
      <formula>0</formula>
      <formula>0.5</formula>
    </cfRule>
  </conditionalFormatting>
  <conditionalFormatting sqref="I197">
    <cfRule type="cellIs" dxfId="11059" priority="13973" operator="between">
      <formula>0.76</formula>
      <formula>0.95</formula>
    </cfRule>
    <cfRule type="cellIs" dxfId="11058" priority="13974" operator="between">
      <formula>0.51</formula>
      <formula>0.75</formula>
    </cfRule>
    <cfRule type="cellIs" dxfId="11057" priority="13975" operator="greaterThan">
      <formula>1</formula>
    </cfRule>
    <cfRule type="cellIs" dxfId="11056" priority="13976" operator="between">
      <formula>0.95</formula>
      <formula>1</formula>
    </cfRule>
    <cfRule type="cellIs" dxfId="11055" priority="13977" stopIfTrue="1" operator="between">
      <formula>0</formula>
      <formula>0.5</formula>
    </cfRule>
  </conditionalFormatting>
  <conditionalFormatting sqref="I198">
    <cfRule type="cellIs" dxfId="11054" priority="13968" operator="between">
      <formula>0.76</formula>
      <formula>0.95</formula>
    </cfRule>
    <cfRule type="cellIs" dxfId="11053" priority="13969" operator="between">
      <formula>0.51</formula>
      <formula>0.75</formula>
    </cfRule>
    <cfRule type="cellIs" dxfId="11052" priority="13970" operator="greaterThan">
      <formula>1</formula>
    </cfRule>
    <cfRule type="cellIs" dxfId="11051" priority="13971" operator="between">
      <formula>0.95</formula>
      <formula>1</formula>
    </cfRule>
    <cfRule type="cellIs" dxfId="11050" priority="13972" stopIfTrue="1" operator="between">
      <formula>0</formula>
      <formula>0.5</formula>
    </cfRule>
  </conditionalFormatting>
  <conditionalFormatting sqref="I199">
    <cfRule type="cellIs" dxfId="11049" priority="13963" operator="between">
      <formula>0.76</formula>
      <formula>0.95</formula>
    </cfRule>
    <cfRule type="cellIs" dxfId="11048" priority="13964" operator="between">
      <formula>0.51</formula>
      <formula>0.75</formula>
    </cfRule>
    <cfRule type="cellIs" dxfId="11047" priority="13965" operator="greaterThan">
      <formula>1</formula>
    </cfRule>
    <cfRule type="cellIs" dxfId="11046" priority="13966" operator="between">
      <formula>0.95</formula>
      <formula>1</formula>
    </cfRule>
    <cfRule type="cellIs" dxfId="11045" priority="13967" stopIfTrue="1" operator="between">
      <formula>0</formula>
      <formula>0.5</formula>
    </cfRule>
  </conditionalFormatting>
  <conditionalFormatting sqref="I200">
    <cfRule type="cellIs" dxfId="11044" priority="13958" operator="between">
      <formula>0.76</formula>
      <formula>0.95</formula>
    </cfRule>
    <cfRule type="cellIs" dxfId="11043" priority="13959" operator="between">
      <formula>0.51</formula>
      <formula>0.75</formula>
    </cfRule>
    <cfRule type="cellIs" dxfId="11042" priority="13960" operator="greaterThan">
      <formula>1</formula>
    </cfRule>
    <cfRule type="cellIs" dxfId="11041" priority="13961" operator="between">
      <formula>0.95</formula>
      <formula>1</formula>
    </cfRule>
    <cfRule type="cellIs" dxfId="11040" priority="13962" stopIfTrue="1" operator="between">
      <formula>0</formula>
      <formula>0.5</formula>
    </cfRule>
  </conditionalFormatting>
  <conditionalFormatting sqref="I202">
    <cfRule type="cellIs" dxfId="11039" priority="13953" operator="between">
      <formula>0.76</formula>
      <formula>0.95</formula>
    </cfRule>
    <cfRule type="cellIs" dxfId="11038" priority="13954" operator="between">
      <formula>0.51</formula>
      <formula>0.75</formula>
    </cfRule>
    <cfRule type="cellIs" dxfId="11037" priority="13955" operator="greaterThan">
      <formula>1</formula>
    </cfRule>
    <cfRule type="cellIs" dxfId="11036" priority="13956" operator="between">
      <formula>0.95</formula>
      <formula>1</formula>
    </cfRule>
    <cfRule type="cellIs" dxfId="11035" priority="13957" stopIfTrue="1" operator="between">
      <formula>0</formula>
      <formula>0.5</formula>
    </cfRule>
  </conditionalFormatting>
  <conditionalFormatting sqref="I201">
    <cfRule type="cellIs" dxfId="11034" priority="13948" operator="between">
      <formula>0.76</formula>
      <formula>0.95</formula>
    </cfRule>
    <cfRule type="cellIs" dxfId="11033" priority="13949" operator="between">
      <formula>0.51</formula>
      <formula>0.75</formula>
    </cfRule>
    <cfRule type="cellIs" dxfId="11032" priority="13950" operator="greaterThan">
      <formula>1</formula>
    </cfRule>
    <cfRule type="cellIs" dxfId="11031" priority="13951" operator="between">
      <formula>0.95</formula>
      <formula>1</formula>
    </cfRule>
    <cfRule type="cellIs" dxfId="11030" priority="13952" stopIfTrue="1" operator="between">
      <formula>0</formula>
      <formula>0.5</formula>
    </cfRule>
  </conditionalFormatting>
  <conditionalFormatting sqref="I203">
    <cfRule type="cellIs" dxfId="11029" priority="13943" operator="between">
      <formula>0.76</formula>
      <formula>0.95</formula>
    </cfRule>
    <cfRule type="cellIs" dxfId="11028" priority="13944" operator="between">
      <formula>0.51</formula>
      <formula>0.75</formula>
    </cfRule>
    <cfRule type="cellIs" dxfId="11027" priority="13945" operator="greaterThan">
      <formula>1</formula>
    </cfRule>
    <cfRule type="cellIs" dxfId="11026" priority="13946" operator="between">
      <formula>0.95</formula>
      <formula>1</formula>
    </cfRule>
    <cfRule type="cellIs" dxfId="11025" priority="13947" stopIfTrue="1" operator="between">
      <formula>0</formula>
      <formula>0.5</formula>
    </cfRule>
  </conditionalFormatting>
  <conditionalFormatting sqref="I204">
    <cfRule type="cellIs" dxfId="11024" priority="13938" operator="between">
      <formula>0.76</formula>
      <formula>0.95</formula>
    </cfRule>
    <cfRule type="cellIs" dxfId="11023" priority="13939" operator="between">
      <formula>0.51</formula>
      <formula>0.75</formula>
    </cfRule>
    <cfRule type="cellIs" dxfId="11022" priority="13940" operator="greaterThan">
      <formula>1</formula>
    </cfRule>
    <cfRule type="cellIs" dxfId="11021" priority="13941" operator="between">
      <formula>0.95</formula>
      <formula>1</formula>
    </cfRule>
    <cfRule type="cellIs" dxfId="11020" priority="13942" stopIfTrue="1" operator="between">
      <formula>0</formula>
      <formula>0.5</formula>
    </cfRule>
  </conditionalFormatting>
  <conditionalFormatting sqref="I205">
    <cfRule type="cellIs" dxfId="11019" priority="13933" operator="between">
      <formula>0.76</formula>
      <formula>0.95</formula>
    </cfRule>
    <cfRule type="cellIs" dxfId="11018" priority="13934" operator="between">
      <formula>0.51</formula>
      <formula>0.75</formula>
    </cfRule>
    <cfRule type="cellIs" dxfId="11017" priority="13935" operator="greaterThan">
      <formula>1</formula>
    </cfRule>
    <cfRule type="cellIs" dxfId="11016" priority="13936" operator="between">
      <formula>0.95</formula>
      <formula>1</formula>
    </cfRule>
    <cfRule type="cellIs" dxfId="11015" priority="13937" stopIfTrue="1" operator="between">
      <formula>0</formula>
      <formula>0.5</formula>
    </cfRule>
  </conditionalFormatting>
  <conditionalFormatting sqref="I206">
    <cfRule type="cellIs" dxfId="11014" priority="13928" operator="between">
      <formula>0.76</formula>
      <formula>0.95</formula>
    </cfRule>
    <cfRule type="cellIs" dxfId="11013" priority="13929" operator="between">
      <formula>0.51</formula>
      <formula>0.75</formula>
    </cfRule>
    <cfRule type="cellIs" dxfId="11012" priority="13930" operator="greaterThan">
      <formula>1</formula>
    </cfRule>
    <cfRule type="cellIs" dxfId="11011" priority="13931" operator="between">
      <formula>0.95</formula>
      <formula>1</formula>
    </cfRule>
    <cfRule type="cellIs" dxfId="11010" priority="13932" stopIfTrue="1" operator="between">
      <formula>0</formula>
      <formula>0.5</formula>
    </cfRule>
  </conditionalFormatting>
  <conditionalFormatting sqref="I207">
    <cfRule type="cellIs" dxfId="11009" priority="13923" operator="between">
      <formula>0.76</formula>
      <formula>0.95</formula>
    </cfRule>
    <cfRule type="cellIs" dxfId="11008" priority="13924" operator="between">
      <formula>0.51</formula>
      <formula>0.75</formula>
    </cfRule>
    <cfRule type="cellIs" dxfId="11007" priority="13925" operator="greaterThan">
      <formula>1</formula>
    </cfRule>
    <cfRule type="cellIs" dxfId="11006" priority="13926" operator="between">
      <formula>0.95</formula>
      <formula>1</formula>
    </cfRule>
    <cfRule type="cellIs" dxfId="11005" priority="13927" stopIfTrue="1" operator="between">
      <formula>0</formula>
      <formula>0.5</formula>
    </cfRule>
  </conditionalFormatting>
  <conditionalFormatting sqref="I208">
    <cfRule type="cellIs" dxfId="11004" priority="13918" operator="between">
      <formula>0.76</formula>
      <formula>0.95</formula>
    </cfRule>
    <cfRule type="cellIs" dxfId="11003" priority="13919" operator="between">
      <formula>0.51</formula>
      <formula>0.75</formula>
    </cfRule>
    <cfRule type="cellIs" dxfId="11002" priority="13920" operator="greaterThan">
      <formula>1</formula>
    </cfRule>
    <cfRule type="cellIs" dxfId="11001" priority="13921" operator="between">
      <formula>0.95</formula>
      <formula>1</formula>
    </cfRule>
    <cfRule type="cellIs" dxfId="11000" priority="13922" stopIfTrue="1" operator="between">
      <formula>0</formula>
      <formula>0.5</formula>
    </cfRule>
  </conditionalFormatting>
  <conditionalFormatting sqref="I209">
    <cfRule type="cellIs" dxfId="10999" priority="13913" operator="between">
      <formula>0.76</formula>
      <formula>0.95</formula>
    </cfRule>
    <cfRule type="cellIs" dxfId="10998" priority="13914" operator="between">
      <formula>0.51</formula>
      <formula>0.75</formula>
    </cfRule>
    <cfRule type="cellIs" dxfId="10997" priority="13915" operator="greaterThan">
      <formula>1</formula>
    </cfRule>
    <cfRule type="cellIs" dxfId="10996" priority="13916" operator="between">
      <formula>0.95</formula>
      <formula>1</formula>
    </cfRule>
    <cfRule type="cellIs" dxfId="10995" priority="13917" stopIfTrue="1" operator="between">
      <formula>0</formula>
      <formula>0.5</formula>
    </cfRule>
  </conditionalFormatting>
  <conditionalFormatting sqref="I210">
    <cfRule type="cellIs" dxfId="10994" priority="13908" operator="between">
      <formula>0.76</formula>
      <formula>0.95</formula>
    </cfRule>
    <cfRule type="cellIs" dxfId="10993" priority="13909" operator="between">
      <formula>0.51</formula>
      <formula>0.75</formula>
    </cfRule>
    <cfRule type="cellIs" dxfId="10992" priority="13910" operator="greaterThan">
      <formula>1</formula>
    </cfRule>
    <cfRule type="cellIs" dxfId="10991" priority="13911" operator="between">
      <formula>0.95</formula>
      <formula>1</formula>
    </cfRule>
    <cfRule type="cellIs" dxfId="10990" priority="13912" stopIfTrue="1" operator="between">
      <formula>0</formula>
      <formula>0.5</formula>
    </cfRule>
  </conditionalFormatting>
  <conditionalFormatting sqref="I211">
    <cfRule type="cellIs" dxfId="10989" priority="13903" operator="between">
      <formula>0.76</formula>
      <formula>0.95</formula>
    </cfRule>
    <cfRule type="cellIs" dxfId="10988" priority="13904" operator="between">
      <formula>0.51</formula>
      <formula>0.75</formula>
    </cfRule>
    <cfRule type="cellIs" dxfId="10987" priority="13905" operator="greaterThan">
      <formula>1</formula>
    </cfRule>
    <cfRule type="cellIs" dxfId="10986" priority="13906" operator="between">
      <formula>0.95</formula>
      <formula>1</formula>
    </cfRule>
    <cfRule type="cellIs" dxfId="10985" priority="13907" stopIfTrue="1" operator="between">
      <formula>0</formula>
      <formula>0.5</formula>
    </cfRule>
  </conditionalFormatting>
  <conditionalFormatting sqref="I212">
    <cfRule type="cellIs" dxfId="10984" priority="13898" operator="between">
      <formula>0.76</formula>
      <formula>0.95</formula>
    </cfRule>
    <cfRule type="cellIs" dxfId="10983" priority="13899" operator="between">
      <formula>0.51</formula>
      <formula>0.75</formula>
    </cfRule>
    <cfRule type="cellIs" dxfId="10982" priority="13900" operator="greaterThan">
      <formula>1</formula>
    </cfRule>
    <cfRule type="cellIs" dxfId="10981" priority="13901" operator="between">
      <formula>0.95</formula>
      <formula>1</formula>
    </cfRule>
    <cfRule type="cellIs" dxfId="10980" priority="13902" stopIfTrue="1" operator="between">
      <formula>0</formula>
      <formula>0.5</formula>
    </cfRule>
  </conditionalFormatting>
  <conditionalFormatting sqref="I213">
    <cfRule type="cellIs" dxfId="10979" priority="13893" operator="between">
      <formula>0.76</formula>
      <formula>0.95</formula>
    </cfRule>
    <cfRule type="cellIs" dxfId="10978" priority="13894" operator="between">
      <formula>0.51</formula>
      <formula>0.75</formula>
    </cfRule>
    <cfRule type="cellIs" dxfId="10977" priority="13895" operator="greaterThan">
      <formula>1</formula>
    </cfRule>
    <cfRule type="cellIs" dxfId="10976" priority="13896" operator="between">
      <formula>0.95</formula>
      <formula>1</formula>
    </cfRule>
    <cfRule type="cellIs" dxfId="10975" priority="13897" stopIfTrue="1" operator="between">
      <formula>0</formula>
      <formula>0.5</formula>
    </cfRule>
  </conditionalFormatting>
  <conditionalFormatting sqref="I215">
    <cfRule type="cellIs" dxfId="10974" priority="13888" operator="between">
      <formula>0.76</formula>
      <formula>0.95</formula>
    </cfRule>
    <cfRule type="cellIs" dxfId="10973" priority="13889" operator="between">
      <formula>0.51</formula>
      <formula>0.75</formula>
    </cfRule>
    <cfRule type="cellIs" dxfId="10972" priority="13890" operator="greaterThan">
      <formula>1</formula>
    </cfRule>
    <cfRule type="cellIs" dxfId="10971" priority="13891" operator="between">
      <formula>0.95</formula>
      <formula>1</formula>
    </cfRule>
    <cfRule type="cellIs" dxfId="10970" priority="13892" stopIfTrue="1" operator="between">
      <formula>0</formula>
      <formula>0.5</formula>
    </cfRule>
  </conditionalFormatting>
  <conditionalFormatting sqref="I216">
    <cfRule type="cellIs" dxfId="10969" priority="13883" operator="between">
      <formula>0.76</formula>
      <formula>0.95</formula>
    </cfRule>
    <cfRule type="cellIs" dxfId="10968" priority="13884" operator="between">
      <formula>0.51</formula>
      <formula>0.75</formula>
    </cfRule>
    <cfRule type="cellIs" dxfId="10967" priority="13885" operator="greaterThan">
      <formula>1</formula>
    </cfRule>
    <cfRule type="cellIs" dxfId="10966" priority="13886" operator="between">
      <formula>0.95</formula>
      <formula>1</formula>
    </cfRule>
    <cfRule type="cellIs" dxfId="10965" priority="13887" stopIfTrue="1" operator="between">
      <formula>0</formula>
      <formula>0.5</formula>
    </cfRule>
  </conditionalFormatting>
  <conditionalFormatting sqref="I217">
    <cfRule type="cellIs" dxfId="10964" priority="13878" operator="between">
      <formula>0.76</formula>
      <formula>0.95</formula>
    </cfRule>
    <cfRule type="cellIs" dxfId="10963" priority="13879" operator="between">
      <formula>0.51</formula>
      <formula>0.75</formula>
    </cfRule>
    <cfRule type="cellIs" dxfId="10962" priority="13880" operator="greaterThan">
      <formula>1</formula>
    </cfRule>
    <cfRule type="cellIs" dxfId="10961" priority="13881" operator="between">
      <formula>0.95</formula>
      <formula>1</formula>
    </cfRule>
    <cfRule type="cellIs" dxfId="10960" priority="13882" stopIfTrue="1" operator="between">
      <formula>0</formula>
      <formula>0.5</formula>
    </cfRule>
  </conditionalFormatting>
  <conditionalFormatting sqref="I218">
    <cfRule type="cellIs" dxfId="10959" priority="13873" operator="between">
      <formula>0.76</formula>
      <formula>0.95</formula>
    </cfRule>
    <cfRule type="cellIs" dxfId="10958" priority="13874" operator="between">
      <formula>0.51</formula>
      <formula>0.75</formula>
    </cfRule>
    <cfRule type="cellIs" dxfId="10957" priority="13875" operator="greaterThan">
      <formula>1</formula>
    </cfRule>
    <cfRule type="cellIs" dxfId="10956" priority="13876" operator="between">
      <formula>0.95</formula>
      <formula>1</formula>
    </cfRule>
    <cfRule type="cellIs" dxfId="10955" priority="13877" stopIfTrue="1" operator="between">
      <formula>0</formula>
      <formula>0.5</formula>
    </cfRule>
  </conditionalFormatting>
  <conditionalFormatting sqref="I220">
    <cfRule type="cellIs" dxfId="10954" priority="13868" operator="between">
      <formula>0.76</formula>
      <formula>0.95</formula>
    </cfRule>
    <cfRule type="cellIs" dxfId="10953" priority="13869" operator="between">
      <formula>0.51</formula>
      <formula>0.75</formula>
    </cfRule>
    <cfRule type="cellIs" dxfId="10952" priority="13870" operator="greaterThan">
      <formula>1</formula>
    </cfRule>
    <cfRule type="cellIs" dxfId="10951" priority="13871" operator="between">
      <formula>0.95</formula>
      <formula>1</formula>
    </cfRule>
    <cfRule type="cellIs" dxfId="10950" priority="13872" stopIfTrue="1" operator="between">
      <formula>0</formula>
      <formula>0.5</formula>
    </cfRule>
  </conditionalFormatting>
  <conditionalFormatting sqref="I219">
    <cfRule type="cellIs" dxfId="10949" priority="13863" operator="between">
      <formula>0.76</formula>
      <formula>0.95</formula>
    </cfRule>
    <cfRule type="cellIs" dxfId="10948" priority="13864" operator="between">
      <formula>0.51</formula>
      <formula>0.75</formula>
    </cfRule>
    <cfRule type="cellIs" dxfId="10947" priority="13865" operator="greaterThan">
      <formula>1</formula>
    </cfRule>
    <cfRule type="cellIs" dxfId="10946" priority="13866" operator="between">
      <formula>0.95</formula>
      <formula>1</formula>
    </cfRule>
    <cfRule type="cellIs" dxfId="10945" priority="13867" stopIfTrue="1" operator="between">
      <formula>0</formula>
      <formula>0.5</formula>
    </cfRule>
  </conditionalFormatting>
  <conditionalFormatting sqref="I221">
    <cfRule type="cellIs" dxfId="10944" priority="13858" operator="between">
      <formula>0.76</formula>
      <formula>0.95</formula>
    </cfRule>
    <cfRule type="cellIs" dxfId="10943" priority="13859" operator="between">
      <formula>0.51</formula>
      <formula>0.75</formula>
    </cfRule>
    <cfRule type="cellIs" dxfId="10942" priority="13860" operator="greaterThan">
      <formula>1</formula>
    </cfRule>
    <cfRule type="cellIs" dxfId="10941" priority="13861" operator="between">
      <formula>0.95</formula>
      <formula>1</formula>
    </cfRule>
    <cfRule type="cellIs" dxfId="10940" priority="13862" stopIfTrue="1" operator="between">
      <formula>0</formula>
      <formula>0.5</formula>
    </cfRule>
  </conditionalFormatting>
  <conditionalFormatting sqref="I222">
    <cfRule type="cellIs" dxfId="10939" priority="13853" operator="between">
      <formula>0.76</formula>
      <formula>0.95</formula>
    </cfRule>
    <cfRule type="cellIs" dxfId="10938" priority="13854" operator="between">
      <formula>0.51</formula>
      <formula>0.75</formula>
    </cfRule>
    <cfRule type="cellIs" dxfId="10937" priority="13855" operator="greaterThan">
      <formula>1</formula>
    </cfRule>
    <cfRule type="cellIs" dxfId="10936" priority="13856" operator="between">
      <formula>0.95</formula>
      <formula>1</formula>
    </cfRule>
    <cfRule type="cellIs" dxfId="10935" priority="13857" stopIfTrue="1" operator="between">
      <formula>0</formula>
      <formula>0.5</formula>
    </cfRule>
  </conditionalFormatting>
  <conditionalFormatting sqref="I223">
    <cfRule type="cellIs" dxfId="10934" priority="13848" operator="between">
      <formula>0.76</formula>
      <formula>0.95</formula>
    </cfRule>
    <cfRule type="cellIs" dxfId="10933" priority="13849" operator="between">
      <formula>0.51</formula>
      <formula>0.75</formula>
    </cfRule>
    <cfRule type="cellIs" dxfId="10932" priority="13850" operator="greaterThan">
      <formula>1</formula>
    </cfRule>
    <cfRule type="cellIs" dxfId="10931" priority="13851" operator="between">
      <formula>0.95</formula>
      <formula>1</formula>
    </cfRule>
    <cfRule type="cellIs" dxfId="10930" priority="13852" stopIfTrue="1" operator="between">
      <formula>0</formula>
      <formula>0.5</formula>
    </cfRule>
  </conditionalFormatting>
  <conditionalFormatting sqref="I224">
    <cfRule type="cellIs" dxfId="10929" priority="13843" operator="between">
      <formula>0.76</formula>
      <formula>0.95</formula>
    </cfRule>
    <cfRule type="cellIs" dxfId="10928" priority="13844" operator="between">
      <formula>0.51</formula>
      <formula>0.75</formula>
    </cfRule>
    <cfRule type="cellIs" dxfId="10927" priority="13845" operator="greaterThan">
      <formula>1</formula>
    </cfRule>
    <cfRule type="cellIs" dxfId="10926" priority="13846" operator="between">
      <formula>0.95</formula>
      <formula>1</formula>
    </cfRule>
    <cfRule type="cellIs" dxfId="10925" priority="13847" stopIfTrue="1" operator="between">
      <formula>0</formula>
      <formula>0.5</formula>
    </cfRule>
  </conditionalFormatting>
  <conditionalFormatting sqref="I225">
    <cfRule type="cellIs" dxfId="10924" priority="13838" operator="between">
      <formula>0.76</formula>
      <formula>0.95</formula>
    </cfRule>
    <cfRule type="cellIs" dxfId="10923" priority="13839" operator="between">
      <formula>0.51</formula>
      <formula>0.75</formula>
    </cfRule>
    <cfRule type="cellIs" dxfId="10922" priority="13840" operator="greaterThan">
      <formula>1</formula>
    </cfRule>
    <cfRule type="cellIs" dxfId="10921" priority="13841" operator="between">
      <formula>0.95</formula>
      <formula>1</formula>
    </cfRule>
    <cfRule type="cellIs" dxfId="10920" priority="13842" stopIfTrue="1" operator="between">
      <formula>0</formula>
      <formula>0.5</formula>
    </cfRule>
  </conditionalFormatting>
  <conditionalFormatting sqref="P15:Q15 Q90:Q91 Q38:Q64 Q66:Q76 Q78:Q86 Q94:Q97 Q99:Q105 Q124:Q145 Q147:Q154 Q156:Q166 Q168:Q176 Q179:Q202 Q204:Q205 Q207:Q209 Q211:Q217 Q220:Q222 Q224">
    <cfRule type="cellIs" dxfId="10919" priority="13833" operator="between">
      <formula>0.76</formula>
      <formula>0.95</formula>
    </cfRule>
    <cfRule type="cellIs" dxfId="10918" priority="13834" operator="between">
      <formula>0.51</formula>
      <formula>0.75</formula>
    </cfRule>
    <cfRule type="cellIs" dxfId="10917" priority="13835" operator="greaterThan">
      <formula>1</formula>
    </cfRule>
    <cfRule type="cellIs" dxfId="10916" priority="13836" operator="between">
      <formula>0.95</formula>
      <formula>1</formula>
    </cfRule>
    <cfRule type="cellIs" dxfId="10915" priority="13837" stopIfTrue="1" operator="between">
      <formula>0</formula>
      <formula>0.5</formula>
    </cfRule>
  </conditionalFormatting>
  <conditionalFormatting sqref="P16">
    <cfRule type="cellIs" dxfId="10914" priority="13828" operator="between">
      <formula>0.76</formula>
      <formula>0.95</formula>
    </cfRule>
    <cfRule type="cellIs" dxfId="10913" priority="13829" operator="between">
      <formula>0.51</formula>
      <formula>0.75</formula>
    </cfRule>
    <cfRule type="cellIs" dxfId="10912" priority="13830" operator="greaterThan">
      <formula>1</formula>
    </cfRule>
    <cfRule type="cellIs" dxfId="10911" priority="13831" operator="between">
      <formula>0.95</formula>
      <formula>1</formula>
    </cfRule>
    <cfRule type="cellIs" dxfId="10910" priority="13832" stopIfTrue="1" operator="between">
      <formula>0</formula>
      <formula>0.5</formula>
    </cfRule>
  </conditionalFormatting>
  <conditionalFormatting sqref="P17">
    <cfRule type="cellIs" dxfId="10909" priority="13823" operator="between">
      <formula>0.76</formula>
      <formula>0.95</formula>
    </cfRule>
    <cfRule type="cellIs" dxfId="10908" priority="13824" operator="between">
      <formula>0.51</formula>
      <formula>0.75</formula>
    </cfRule>
    <cfRule type="cellIs" dxfId="10907" priority="13825" operator="greaterThan">
      <formula>1</formula>
    </cfRule>
    <cfRule type="cellIs" dxfId="10906" priority="13826" operator="between">
      <formula>0.95</formula>
      <formula>1</formula>
    </cfRule>
    <cfRule type="cellIs" dxfId="10905" priority="13827" stopIfTrue="1" operator="between">
      <formula>0</formula>
      <formula>0.5</formula>
    </cfRule>
  </conditionalFormatting>
  <conditionalFormatting sqref="P19">
    <cfRule type="cellIs" dxfId="10904" priority="13803" operator="between">
      <formula>0.76</formula>
      <formula>0.95</formula>
    </cfRule>
    <cfRule type="cellIs" dxfId="10903" priority="13804" operator="between">
      <formula>0.51</formula>
      <formula>0.75</formula>
    </cfRule>
    <cfRule type="cellIs" dxfId="10902" priority="13805" operator="greaterThan">
      <formula>1</formula>
    </cfRule>
    <cfRule type="cellIs" dxfId="10901" priority="13806" operator="between">
      <formula>0.95</formula>
      <formula>1</formula>
    </cfRule>
    <cfRule type="cellIs" dxfId="10900" priority="13807" stopIfTrue="1" operator="between">
      <formula>0</formula>
      <formula>0.5</formula>
    </cfRule>
  </conditionalFormatting>
  <conditionalFormatting sqref="P18">
    <cfRule type="cellIs" dxfId="10899" priority="13798" operator="between">
      <formula>0.76</formula>
      <formula>0.95</formula>
    </cfRule>
    <cfRule type="cellIs" dxfId="10898" priority="13799" operator="between">
      <formula>0.51</formula>
      <formula>0.75</formula>
    </cfRule>
    <cfRule type="cellIs" dxfId="10897" priority="13800" operator="greaterThan">
      <formula>1</formula>
    </cfRule>
    <cfRule type="cellIs" dxfId="10896" priority="13801" operator="between">
      <formula>0.95</formula>
      <formula>1</formula>
    </cfRule>
    <cfRule type="cellIs" dxfId="10895" priority="13802" stopIfTrue="1" operator="between">
      <formula>0</formula>
      <formula>0.5</formula>
    </cfRule>
  </conditionalFormatting>
  <conditionalFormatting sqref="P20">
    <cfRule type="cellIs" dxfId="10894" priority="13793" operator="between">
      <formula>0.76</formula>
      <formula>0.95</formula>
    </cfRule>
    <cfRule type="cellIs" dxfId="10893" priority="13794" operator="between">
      <formula>0.51</formula>
      <formula>0.75</formula>
    </cfRule>
    <cfRule type="cellIs" dxfId="10892" priority="13795" operator="greaterThan">
      <formula>1</formula>
    </cfRule>
    <cfRule type="cellIs" dxfId="10891" priority="13796" operator="between">
      <formula>0.95</formula>
      <formula>1</formula>
    </cfRule>
    <cfRule type="cellIs" dxfId="10890" priority="13797" stopIfTrue="1" operator="between">
      <formula>0</formula>
      <formula>0.5</formula>
    </cfRule>
  </conditionalFormatting>
  <conditionalFormatting sqref="P21">
    <cfRule type="cellIs" dxfId="10889" priority="13788" operator="between">
      <formula>0.76</formula>
      <formula>0.95</formula>
    </cfRule>
    <cfRule type="cellIs" dxfId="10888" priority="13789" operator="between">
      <formula>0.51</formula>
      <formula>0.75</formula>
    </cfRule>
    <cfRule type="cellIs" dxfId="10887" priority="13790" operator="greaterThan">
      <formula>1</formula>
    </cfRule>
    <cfRule type="cellIs" dxfId="10886" priority="13791" operator="between">
      <formula>0.95</formula>
      <formula>1</formula>
    </cfRule>
    <cfRule type="cellIs" dxfId="10885" priority="13792" stopIfTrue="1" operator="between">
      <formula>0</formula>
      <formula>0.5</formula>
    </cfRule>
  </conditionalFormatting>
  <conditionalFormatting sqref="P22">
    <cfRule type="cellIs" dxfId="10884" priority="13783" operator="between">
      <formula>0.76</formula>
      <formula>0.95</formula>
    </cfRule>
    <cfRule type="cellIs" dxfId="10883" priority="13784" operator="between">
      <formula>0.51</formula>
      <formula>0.75</formula>
    </cfRule>
    <cfRule type="cellIs" dxfId="10882" priority="13785" operator="greaterThan">
      <formula>1</formula>
    </cfRule>
    <cfRule type="cellIs" dxfId="10881" priority="13786" operator="between">
      <formula>0.95</formula>
      <formula>1</formula>
    </cfRule>
    <cfRule type="cellIs" dxfId="10880" priority="13787" stopIfTrue="1" operator="between">
      <formula>0</formula>
      <formula>0.5</formula>
    </cfRule>
  </conditionalFormatting>
  <conditionalFormatting sqref="P23">
    <cfRule type="cellIs" dxfId="10879" priority="13778" operator="between">
      <formula>0.76</formula>
      <formula>0.95</formula>
    </cfRule>
    <cfRule type="cellIs" dxfId="10878" priority="13779" operator="between">
      <formula>0.51</formula>
      <formula>0.75</formula>
    </cfRule>
    <cfRule type="cellIs" dxfId="10877" priority="13780" operator="greaterThan">
      <formula>1</formula>
    </cfRule>
    <cfRule type="cellIs" dxfId="10876" priority="13781" operator="between">
      <formula>0.95</formula>
      <formula>1</formula>
    </cfRule>
    <cfRule type="cellIs" dxfId="10875" priority="13782" stopIfTrue="1" operator="between">
      <formula>0</formula>
      <formula>0.5</formula>
    </cfRule>
  </conditionalFormatting>
  <conditionalFormatting sqref="P25">
    <cfRule type="cellIs" dxfId="10874" priority="13773" operator="between">
      <formula>0.76</formula>
      <formula>0.95</formula>
    </cfRule>
    <cfRule type="cellIs" dxfId="10873" priority="13774" operator="between">
      <formula>0.51</formula>
      <formula>0.75</formula>
    </cfRule>
    <cfRule type="cellIs" dxfId="10872" priority="13775" operator="greaterThan">
      <formula>1</formula>
    </cfRule>
    <cfRule type="cellIs" dxfId="10871" priority="13776" operator="between">
      <formula>0.95</formula>
      <formula>1</formula>
    </cfRule>
    <cfRule type="cellIs" dxfId="10870" priority="13777" stopIfTrue="1" operator="between">
      <formula>0</formula>
      <formula>0.5</formula>
    </cfRule>
  </conditionalFormatting>
  <conditionalFormatting sqref="P26">
    <cfRule type="cellIs" dxfId="10869" priority="13768" operator="between">
      <formula>0.76</formula>
      <formula>0.95</formula>
    </cfRule>
    <cfRule type="cellIs" dxfId="10868" priority="13769" operator="between">
      <formula>0.51</formula>
      <formula>0.75</formula>
    </cfRule>
    <cfRule type="cellIs" dxfId="10867" priority="13770" operator="greaterThan">
      <formula>1</formula>
    </cfRule>
    <cfRule type="cellIs" dxfId="10866" priority="13771" operator="between">
      <formula>0.95</formula>
      <formula>1</formula>
    </cfRule>
    <cfRule type="cellIs" dxfId="10865" priority="13772" stopIfTrue="1" operator="between">
      <formula>0</formula>
      <formula>0.5</formula>
    </cfRule>
  </conditionalFormatting>
  <conditionalFormatting sqref="P27">
    <cfRule type="cellIs" dxfId="10864" priority="13763" operator="between">
      <formula>0.76</formula>
      <formula>0.95</formula>
    </cfRule>
    <cfRule type="cellIs" dxfId="10863" priority="13764" operator="between">
      <formula>0.51</formula>
      <formula>0.75</formula>
    </cfRule>
    <cfRule type="cellIs" dxfId="10862" priority="13765" operator="greaterThan">
      <formula>1</formula>
    </cfRule>
    <cfRule type="cellIs" dxfId="10861" priority="13766" operator="between">
      <formula>0.95</formula>
      <formula>1</formula>
    </cfRule>
    <cfRule type="cellIs" dxfId="10860" priority="13767" stopIfTrue="1" operator="between">
      <formula>0</formula>
      <formula>0.5</formula>
    </cfRule>
  </conditionalFormatting>
  <conditionalFormatting sqref="P28">
    <cfRule type="cellIs" dxfId="10859" priority="13758" operator="between">
      <formula>0.76</formula>
      <formula>0.95</formula>
    </cfRule>
    <cfRule type="cellIs" dxfId="10858" priority="13759" operator="between">
      <formula>0.51</formula>
      <formula>0.75</formula>
    </cfRule>
    <cfRule type="cellIs" dxfId="10857" priority="13760" operator="greaterThan">
      <formula>1</formula>
    </cfRule>
    <cfRule type="cellIs" dxfId="10856" priority="13761" operator="between">
      <formula>0.95</formula>
      <formula>1</formula>
    </cfRule>
    <cfRule type="cellIs" dxfId="10855" priority="13762" stopIfTrue="1" operator="between">
      <formula>0</formula>
      <formula>0.5</formula>
    </cfRule>
  </conditionalFormatting>
  <conditionalFormatting sqref="P29">
    <cfRule type="cellIs" dxfId="10854" priority="13753" operator="between">
      <formula>0.76</formula>
      <formula>0.95</formula>
    </cfRule>
    <cfRule type="cellIs" dxfId="10853" priority="13754" operator="between">
      <formula>0.51</formula>
      <formula>0.75</formula>
    </cfRule>
    <cfRule type="cellIs" dxfId="10852" priority="13755" operator="greaterThan">
      <formula>1</formula>
    </cfRule>
    <cfRule type="cellIs" dxfId="10851" priority="13756" operator="between">
      <formula>0.95</formula>
      <formula>1</formula>
    </cfRule>
    <cfRule type="cellIs" dxfId="10850" priority="13757" stopIfTrue="1" operator="between">
      <formula>0</formula>
      <formula>0.5</formula>
    </cfRule>
  </conditionalFormatting>
  <conditionalFormatting sqref="P30">
    <cfRule type="cellIs" dxfId="10849" priority="13748" operator="between">
      <formula>0.76</formula>
      <formula>0.95</formula>
    </cfRule>
    <cfRule type="cellIs" dxfId="10848" priority="13749" operator="between">
      <formula>0.51</formula>
      <formula>0.75</formula>
    </cfRule>
    <cfRule type="cellIs" dxfId="10847" priority="13750" operator="greaterThan">
      <formula>1</formula>
    </cfRule>
    <cfRule type="cellIs" dxfId="10846" priority="13751" operator="between">
      <formula>0.95</formula>
      <formula>1</formula>
    </cfRule>
    <cfRule type="cellIs" dxfId="10845" priority="13752" stopIfTrue="1" operator="between">
      <formula>0</formula>
      <formula>0.5</formula>
    </cfRule>
  </conditionalFormatting>
  <conditionalFormatting sqref="P31">
    <cfRule type="cellIs" dxfId="10844" priority="13743" operator="between">
      <formula>0.76</formula>
      <formula>0.95</formula>
    </cfRule>
    <cfRule type="cellIs" dxfId="10843" priority="13744" operator="between">
      <formula>0.51</formula>
      <formula>0.75</formula>
    </cfRule>
    <cfRule type="cellIs" dxfId="10842" priority="13745" operator="greaterThan">
      <formula>1</formula>
    </cfRule>
    <cfRule type="cellIs" dxfId="10841" priority="13746" operator="between">
      <formula>0.95</formula>
      <formula>1</formula>
    </cfRule>
    <cfRule type="cellIs" dxfId="10840" priority="13747" stopIfTrue="1" operator="between">
      <formula>0</formula>
      <formula>0.5</formula>
    </cfRule>
  </conditionalFormatting>
  <conditionalFormatting sqref="P35">
    <cfRule type="cellIs" dxfId="10839" priority="13738" operator="between">
      <formula>0.76</formula>
      <formula>0.95</formula>
    </cfRule>
    <cfRule type="cellIs" dxfId="10838" priority="13739" operator="between">
      <formula>0.51</formula>
      <formula>0.75</formula>
    </cfRule>
    <cfRule type="cellIs" dxfId="10837" priority="13740" operator="greaterThan">
      <formula>1</formula>
    </cfRule>
    <cfRule type="cellIs" dxfId="10836" priority="13741" operator="between">
      <formula>0.95</formula>
      <formula>1</formula>
    </cfRule>
    <cfRule type="cellIs" dxfId="10835" priority="13742" stopIfTrue="1" operator="between">
      <formula>0</formula>
      <formula>0.5</formula>
    </cfRule>
  </conditionalFormatting>
  <conditionalFormatting sqref="P36">
    <cfRule type="cellIs" dxfId="10834" priority="13728" operator="between">
      <formula>0.76</formula>
      <formula>0.95</formula>
    </cfRule>
    <cfRule type="cellIs" dxfId="10833" priority="13729" operator="between">
      <formula>0.51</formula>
      <formula>0.75</formula>
    </cfRule>
    <cfRule type="cellIs" dxfId="10832" priority="13730" operator="greaterThan">
      <formula>1</formula>
    </cfRule>
    <cfRule type="cellIs" dxfId="10831" priority="13731" operator="between">
      <formula>0.95</formula>
      <formula>1</formula>
    </cfRule>
    <cfRule type="cellIs" dxfId="10830" priority="13732" stopIfTrue="1" operator="between">
      <formula>0</formula>
      <formula>0.5</formula>
    </cfRule>
  </conditionalFormatting>
  <conditionalFormatting sqref="P37">
    <cfRule type="cellIs" dxfId="10829" priority="13723" operator="between">
      <formula>0.76</formula>
      <formula>0.95</formula>
    </cfRule>
    <cfRule type="cellIs" dxfId="10828" priority="13724" operator="between">
      <formula>0.51</formula>
      <formula>0.75</formula>
    </cfRule>
    <cfRule type="cellIs" dxfId="10827" priority="13725" operator="greaterThan">
      <formula>1</formula>
    </cfRule>
    <cfRule type="cellIs" dxfId="10826" priority="13726" operator="between">
      <formula>0.95</formula>
      <formula>1</formula>
    </cfRule>
    <cfRule type="cellIs" dxfId="10825" priority="13727" stopIfTrue="1" operator="between">
      <formula>0</formula>
      <formula>0.5</formula>
    </cfRule>
  </conditionalFormatting>
  <conditionalFormatting sqref="P38">
    <cfRule type="cellIs" dxfId="10824" priority="13718" operator="between">
      <formula>0.76</formula>
      <formula>0.95</formula>
    </cfRule>
    <cfRule type="cellIs" dxfId="10823" priority="13719" operator="between">
      <formula>0.51</formula>
      <formula>0.75</formula>
    </cfRule>
    <cfRule type="cellIs" dxfId="10822" priority="13720" operator="greaterThan">
      <formula>1</formula>
    </cfRule>
    <cfRule type="cellIs" dxfId="10821" priority="13721" operator="between">
      <formula>0.95</formula>
      <formula>1</formula>
    </cfRule>
    <cfRule type="cellIs" dxfId="10820" priority="13722" stopIfTrue="1" operator="between">
      <formula>0</formula>
      <formula>0.5</formula>
    </cfRule>
  </conditionalFormatting>
  <conditionalFormatting sqref="P39">
    <cfRule type="cellIs" dxfId="10819" priority="13713" operator="between">
      <formula>0.76</formula>
      <formula>0.95</formula>
    </cfRule>
    <cfRule type="cellIs" dxfId="10818" priority="13714" operator="between">
      <formula>0.51</formula>
      <formula>0.75</formula>
    </cfRule>
    <cfRule type="cellIs" dxfId="10817" priority="13715" operator="greaterThan">
      <formula>1</formula>
    </cfRule>
    <cfRule type="cellIs" dxfId="10816" priority="13716" operator="between">
      <formula>0.95</formula>
      <formula>1</formula>
    </cfRule>
    <cfRule type="cellIs" dxfId="10815" priority="13717" stopIfTrue="1" operator="between">
      <formula>0</formula>
      <formula>0.5</formula>
    </cfRule>
  </conditionalFormatting>
  <conditionalFormatting sqref="P40">
    <cfRule type="cellIs" dxfId="10814" priority="13708" operator="between">
      <formula>0.76</formula>
      <formula>0.95</formula>
    </cfRule>
    <cfRule type="cellIs" dxfId="10813" priority="13709" operator="between">
      <formula>0.51</formula>
      <formula>0.75</formula>
    </cfRule>
    <cfRule type="cellIs" dxfId="10812" priority="13710" operator="greaterThan">
      <formula>1</formula>
    </cfRule>
    <cfRule type="cellIs" dxfId="10811" priority="13711" operator="between">
      <formula>0.95</formula>
      <formula>1</formula>
    </cfRule>
    <cfRule type="cellIs" dxfId="10810" priority="13712" stopIfTrue="1" operator="between">
      <formula>0</formula>
      <formula>0.5</formula>
    </cfRule>
  </conditionalFormatting>
  <conditionalFormatting sqref="P41">
    <cfRule type="cellIs" dxfId="10809" priority="13703" operator="between">
      <formula>0.76</formula>
      <formula>0.95</formula>
    </cfRule>
    <cfRule type="cellIs" dxfId="10808" priority="13704" operator="between">
      <formula>0.51</formula>
      <formula>0.75</formula>
    </cfRule>
    <cfRule type="cellIs" dxfId="10807" priority="13705" operator="greaterThan">
      <formula>1</formula>
    </cfRule>
    <cfRule type="cellIs" dxfId="10806" priority="13706" operator="between">
      <formula>0.95</formula>
      <formula>1</formula>
    </cfRule>
    <cfRule type="cellIs" dxfId="10805" priority="13707" stopIfTrue="1" operator="between">
      <formula>0</formula>
      <formula>0.5</formula>
    </cfRule>
  </conditionalFormatting>
  <conditionalFormatting sqref="P42">
    <cfRule type="cellIs" dxfId="10804" priority="13698" operator="between">
      <formula>0.76</formula>
      <formula>0.95</formula>
    </cfRule>
    <cfRule type="cellIs" dxfId="10803" priority="13699" operator="between">
      <formula>0.51</formula>
      <formula>0.75</formula>
    </cfRule>
    <cfRule type="cellIs" dxfId="10802" priority="13700" operator="greaterThan">
      <formula>1</formula>
    </cfRule>
    <cfRule type="cellIs" dxfId="10801" priority="13701" operator="between">
      <formula>0.95</formula>
      <formula>1</formula>
    </cfRule>
    <cfRule type="cellIs" dxfId="10800" priority="13702" stopIfTrue="1" operator="between">
      <formula>0</formula>
      <formula>0.5</formula>
    </cfRule>
  </conditionalFormatting>
  <conditionalFormatting sqref="P43">
    <cfRule type="cellIs" dxfId="10799" priority="13693" operator="between">
      <formula>0.76</formula>
      <formula>0.95</formula>
    </cfRule>
    <cfRule type="cellIs" dxfId="10798" priority="13694" operator="between">
      <formula>0.51</formula>
      <formula>0.75</formula>
    </cfRule>
    <cfRule type="cellIs" dxfId="10797" priority="13695" operator="greaterThan">
      <formula>1</formula>
    </cfRule>
    <cfRule type="cellIs" dxfId="10796" priority="13696" operator="between">
      <formula>0.95</formula>
      <formula>1</formula>
    </cfRule>
    <cfRule type="cellIs" dxfId="10795" priority="13697" stopIfTrue="1" operator="between">
      <formula>0</formula>
      <formula>0.5</formula>
    </cfRule>
  </conditionalFormatting>
  <conditionalFormatting sqref="P44">
    <cfRule type="cellIs" dxfId="10794" priority="13688" operator="between">
      <formula>0.76</formula>
      <formula>0.95</formula>
    </cfRule>
    <cfRule type="cellIs" dxfId="10793" priority="13689" operator="between">
      <formula>0.51</formula>
      <formula>0.75</formula>
    </cfRule>
    <cfRule type="cellIs" dxfId="10792" priority="13690" operator="greaterThan">
      <formula>1</formula>
    </cfRule>
    <cfRule type="cellIs" dxfId="10791" priority="13691" operator="between">
      <formula>0.95</formula>
      <formula>1</formula>
    </cfRule>
    <cfRule type="cellIs" dxfId="10790" priority="13692" stopIfTrue="1" operator="between">
      <formula>0</formula>
      <formula>0.5</formula>
    </cfRule>
  </conditionalFormatting>
  <conditionalFormatting sqref="P46">
    <cfRule type="cellIs" dxfId="10789" priority="13683" operator="between">
      <formula>0.76</formula>
      <formula>0.95</formula>
    </cfRule>
    <cfRule type="cellIs" dxfId="10788" priority="13684" operator="between">
      <formula>0.51</formula>
      <formula>0.75</formula>
    </cfRule>
    <cfRule type="cellIs" dxfId="10787" priority="13685" operator="greaterThan">
      <formula>1</formula>
    </cfRule>
    <cfRule type="cellIs" dxfId="10786" priority="13686" operator="between">
      <formula>0.95</formula>
      <formula>1</formula>
    </cfRule>
    <cfRule type="cellIs" dxfId="10785" priority="13687" stopIfTrue="1" operator="between">
      <formula>0</formula>
      <formula>0.5</formula>
    </cfRule>
  </conditionalFormatting>
  <conditionalFormatting sqref="P45">
    <cfRule type="cellIs" dxfId="10784" priority="13678" operator="between">
      <formula>0.76</formula>
      <formula>0.95</formula>
    </cfRule>
    <cfRule type="cellIs" dxfId="10783" priority="13679" operator="between">
      <formula>0.51</formula>
      <formula>0.75</formula>
    </cfRule>
    <cfRule type="cellIs" dxfId="10782" priority="13680" operator="greaterThan">
      <formula>1</formula>
    </cfRule>
    <cfRule type="cellIs" dxfId="10781" priority="13681" operator="between">
      <formula>0.95</formula>
      <formula>1</formula>
    </cfRule>
    <cfRule type="cellIs" dxfId="10780" priority="13682" stopIfTrue="1" operator="between">
      <formula>0</formula>
      <formula>0.5</formula>
    </cfRule>
  </conditionalFormatting>
  <conditionalFormatting sqref="P47">
    <cfRule type="cellIs" dxfId="10779" priority="13673" operator="between">
      <formula>0.76</formula>
      <formula>0.95</formula>
    </cfRule>
    <cfRule type="cellIs" dxfId="10778" priority="13674" operator="between">
      <formula>0.51</formula>
      <formula>0.75</formula>
    </cfRule>
    <cfRule type="cellIs" dxfId="10777" priority="13675" operator="greaterThan">
      <formula>1</formula>
    </cfRule>
    <cfRule type="cellIs" dxfId="10776" priority="13676" operator="between">
      <formula>0.95</formula>
      <formula>1</formula>
    </cfRule>
    <cfRule type="cellIs" dxfId="10775" priority="13677" stopIfTrue="1" operator="between">
      <formula>0</formula>
      <formula>0.5</formula>
    </cfRule>
  </conditionalFormatting>
  <conditionalFormatting sqref="P48">
    <cfRule type="cellIs" dxfId="10774" priority="13668" operator="between">
      <formula>0.76</formula>
      <formula>0.95</formula>
    </cfRule>
    <cfRule type="cellIs" dxfId="10773" priority="13669" operator="between">
      <formula>0.51</formula>
      <formula>0.75</formula>
    </cfRule>
    <cfRule type="cellIs" dxfId="10772" priority="13670" operator="greaterThan">
      <formula>1</formula>
    </cfRule>
    <cfRule type="cellIs" dxfId="10771" priority="13671" operator="between">
      <formula>0.95</formula>
      <formula>1</formula>
    </cfRule>
    <cfRule type="cellIs" dxfId="10770" priority="13672" stopIfTrue="1" operator="between">
      <formula>0</formula>
      <formula>0.5</formula>
    </cfRule>
  </conditionalFormatting>
  <conditionalFormatting sqref="P49">
    <cfRule type="cellIs" dxfId="10769" priority="13663" operator="between">
      <formula>0.76</formula>
      <formula>0.95</formula>
    </cfRule>
    <cfRule type="cellIs" dxfId="10768" priority="13664" operator="between">
      <formula>0.51</formula>
      <formula>0.75</formula>
    </cfRule>
    <cfRule type="cellIs" dxfId="10767" priority="13665" operator="greaterThan">
      <formula>1</formula>
    </cfRule>
    <cfRule type="cellIs" dxfId="10766" priority="13666" operator="between">
      <formula>0.95</formula>
      <formula>1</formula>
    </cfRule>
    <cfRule type="cellIs" dxfId="10765" priority="13667" stopIfTrue="1" operator="between">
      <formula>0</formula>
      <formula>0.5</formula>
    </cfRule>
  </conditionalFormatting>
  <conditionalFormatting sqref="P50">
    <cfRule type="cellIs" dxfId="10764" priority="13658" operator="between">
      <formula>0.76</formula>
      <formula>0.95</formula>
    </cfRule>
    <cfRule type="cellIs" dxfId="10763" priority="13659" operator="between">
      <formula>0.51</formula>
      <formula>0.75</formula>
    </cfRule>
    <cfRule type="cellIs" dxfId="10762" priority="13660" operator="greaterThan">
      <formula>1</formula>
    </cfRule>
    <cfRule type="cellIs" dxfId="10761" priority="13661" operator="between">
      <formula>0.95</formula>
      <formula>1</formula>
    </cfRule>
    <cfRule type="cellIs" dxfId="10760" priority="13662" stopIfTrue="1" operator="between">
      <formula>0</formula>
      <formula>0.5</formula>
    </cfRule>
  </conditionalFormatting>
  <conditionalFormatting sqref="P51">
    <cfRule type="cellIs" dxfId="10759" priority="13653" operator="between">
      <formula>0.76</formula>
      <formula>0.95</formula>
    </cfRule>
    <cfRule type="cellIs" dxfId="10758" priority="13654" operator="between">
      <formula>0.51</formula>
      <formula>0.75</formula>
    </cfRule>
    <cfRule type="cellIs" dxfId="10757" priority="13655" operator="greaterThan">
      <formula>1</formula>
    </cfRule>
    <cfRule type="cellIs" dxfId="10756" priority="13656" operator="between">
      <formula>0.95</formula>
      <formula>1</formula>
    </cfRule>
    <cfRule type="cellIs" dxfId="10755" priority="13657" stopIfTrue="1" operator="between">
      <formula>0</formula>
      <formula>0.5</formula>
    </cfRule>
  </conditionalFormatting>
  <conditionalFormatting sqref="P52">
    <cfRule type="cellIs" dxfId="10754" priority="13648" operator="between">
      <formula>0.76</formula>
      <formula>0.95</formula>
    </cfRule>
    <cfRule type="cellIs" dxfId="10753" priority="13649" operator="between">
      <formula>0.51</formula>
      <formula>0.75</formula>
    </cfRule>
    <cfRule type="cellIs" dxfId="10752" priority="13650" operator="greaterThan">
      <formula>1</formula>
    </cfRule>
    <cfRule type="cellIs" dxfId="10751" priority="13651" operator="between">
      <formula>0.95</formula>
      <formula>1</formula>
    </cfRule>
    <cfRule type="cellIs" dxfId="10750" priority="13652" stopIfTrue="1" operator="between">
      <formula>0</formula>
      <formula>0.5</formula>
    </cfRule>
  </conditionalFormatting>
  <conditionalFormatting sqref="P53">
    <cfRule type="cellIs" dxfId="10749" priority="13643" operator="between">
      <formula>0.76</formula>
      <formula>0.95</formula>
    </cfRule>
    <cfRule type="cellIs" dxfId="10748" priority="13644" operator="between">
      <formula>0.51</formula>
      <formula>0.75</formula>
    </cfRule>
    <cfRule type="cellIs" dxfId="10747" priority="13645" operator="greaterThan">
      <formula>1</formula>
    </cfRule>
    <cfRule type="cellIs" dxfId="10746" priority="13646" operator="between">
      <formula>0.95</formula>
      <formula>1</formula>
    </cfRule>
    <cfRule type="cellIs" dxfId="10745" priority="13647" stopIfTrue="1" operator="between">
      <formula>0</formula>
      <formula>0.5</formula>
    </cfRule>
  </conditionalFormatting>
  <conditionalFormatting sqref="P54">
    <cfRule type="cellIs" dxfId="10744" priority="13638" operator="between">
      <formula>0.76</formula>
      <formula>0.95</formula>
    </cfRule>
    <cfRule type="cellIs" dxfId="10743" priority="13639" operator="between">
      <formula>0.51</formula>
      <formula>0.75</formula>
    </cfRule>
    <cfRule type="cellIs" dxfId="10742" priority="13640" operator="greaterThan">
      <formula>1</formula>
    </cfRule>
    <cfRule type="cellIs" dxfId="10741" priority="13641" operator="between">
      <formula>0.95</formula>
      <formula>1</formula>
    </cfRule>
    <cfRule type="cellIs" dxfId="10740" priority="13642" stopIfTrue="1" operator="between">
      <formula>0</formula>
      <formula>0.5</formula>
    </cfRule>
  </conditionalFormatting>
  <conditionalFormatting sqref="P55">
    <cfRule type="cellIs" dxfId="10739" priority="13633" operator="between">
      <formula>0.76</formula>
      <formula>0.95</formula>
    </cfRule>
    <cfRule type="cellIs" dxfId="10738" priority="13634" operator="between">
      <formula>0.51</formula>
      <formula>0.75</formula>
    </cfRule>
    <cfRule type="cellIs" dxfId="10737" priority="13635" operator="greaterThan">
      <formula>1</formula>
    </cfRule>
    <cfRule type="cellIs" dxfId="10736" priority="13636" operator="between">
      <formula>0.95</formula>
      <formula>1</formula>
    </cfRule>
    <cfRule type="cellIs" dxfId="10735" priority="13637" stopIfTrue="1" operator="between">
      <formula>0</formula>
      <formula>0.5</formula>
    </cfRule>
  </conditionalFormatting>
  <conditionalFormatting sqref="P56">
    <cfRule type="cellIs" dxfId="10734" priority="13628" operator="between">
      <formula>0.76</formula>
      <formula>0.95</formula>
    </cfRule>
    <cfRule type="cellIs" dxfId="10733" priority="13629" operator="between">
      <formula>0.51</formula>
      <formula>0.75</formula>
    </cfRule>
    <cfRule type="cellIs" dxfId="10732" priority="13630" operator="greaterThan">
      <formula>1</formula>
    </cfRule>
    <cfRule type="cellIs" dxfId="10731" priority="13631" operator="between">
      <formula>0.95</formula>
      <formula>1</formula>
    </cfRule>
    <cfRule type="cellIs" dxfId="10730" priority="13632" stopIfTrue="1" operator="between">
      <formula>0</formula>
      <formula>0.5</formula>
    </cfRule>
  </conditionalFormatting>
  <conditionalFormatting sqref="P57">
    <cfRule type="cellIs" dxfId="10729" priority="13623" operator="between">
      <formula>0.76</formula>
      <formula>0.95</formula>
    </cfRule>
    <cfRule type="cellIs" dxfId="10728" priority="13624" operator="between">
      <formula>0.51</formula>
      <formula>0.75</formula>
    </cfRule>
    <cfRule type="cellIs" dxfId="10727" priority="13625" operator="greaterThan">
      <formula>1</formula>
    </cfRule>
    <cfRule type="cellIs" dxfId="10726" priority="13626" operator="between">
      <formula>0.95</formula>
      <formula>1</formula>
    </cfRule>
    <cfRule type="cellIs" dxfId="10725" priority="13627" stopIfTrue="1" operator="between">
      <formula>0</formula>
      <formula>0.5</formula>
    </cfRule>
  </conditionalFormatting>
  <conditionalFormatting sqref="P58">
    <cfRule type="cellIs" dxfId="10724" priority="13608" operator="between">
      <formula>0.76</formula>
      <formula>0.95</formula>
    </cfRule>
    <cfRule type="cellIs" dxfId="10723" priority="13609" operator="between">
      <formula>0.51</formula>
      <formula>0.75</formula>
    </cfRule>
    <cfRule type="cellIs" dxfId="10722" priority="13610" operator="greaterThan">
      <formula>1</formula>
    </cfRule>
    <cfRule type="cellIs" dxfId="10721" priority="13611" operator="between">
      <formula>0.95</formula>
      <formula>1</formula>
    </cfRule>
    <cfRule type="cellIs" dxfId="10720" priority="13612" stopIfTrue="1" operator="between">
      <formula>0</formula>
      <formula>0.5</formula>
    </cfRule>
  </conditionalFormatting>
  <conditionalFormatting sqref="P59">
    <cfRule type="cellIs" dxfId="10719" priority="13603" operator="between">
      <formula>0.76</formula>
      <formula>0.95</formula>
    </cfRule>
    <cfRule type="cellIs" dxfId="10718" priority="13604" operator="between">
      <formula>0.51</formula>
      <formula>0.75</formula>
    </cfRule>
    <cfRule type="cellIs" dxfId="10717" priority="13605" operator="greaterThan">
      <formula>1</formula>
    </cfRule>
    <cfRule type="cellIs" dxfId="10716" priority="13606" operator="between">
      <formula>0.95</formula>
      <formula>1</formula>
    </cfRule>
    <cfRule type="cellIs" dxfId="10715" priority="13607" stopIfTrue="1" operator="between">
      <formula>0</formula>
      <formula>0.5</formula>
    </cfRule>
  </conditionalFormatting>
  <conditionalFormatting sqref="P61">
    <cfRule type="cellIs" dxfId="10714" priority="13598" operator="between">
      <formula>0.76</formula>
      <formula>0.95</formula>
    </cfRule>
    <cfRule type="cellIs" dxfId="10713" priority="13599" operator="between">
      <formula>0.51</formula>
      <formula>0.75</formula>
    </cfRule>
    <cfRule type="cellIs" dxfId="10712" priority="13600" operator="greaterThan">
      <formula>1</formula>
    </cfRule>
    <cfRule type="cellIs" dxfId="10711" priority="13601" operator="between">
      <formula>0.95</formula>
      <formula>1</formula>
    </cfRule>
    <cfRule type="cellIs" dxfId="10710" priority="13602" stopIfTrue="1" operator="between">
      <formula>0</formula>
      <formula>0.5</formula>
    </cfRule>
  </conditionalFormatting>
  <conditionalFormatting sqref="P60">
    <cfRule type="cellIs" dxfId="10709" priority="13593" operator="between">
      <formula>0.76</formula>
      <formula>0.95</formula>
    </cfRule>
    <cfRule type="cellIs" dxfId="10708" priority="13594" operator="between">
      <formula>0.51</formula>
      <formula>0.75</formula>
    </cfRule>
    <cfRule type="cellIs" dxfId="10707" priority="13595" operator="greaterThan">
      <formula>1</formula>
    </cfRule>
    <cfRule type="cellIs" dxfId="10706" priority="13596" operator="between">
      <formula>0.95</formula>
      <formula>1</formula>
    </cfRule>
    <cfRule type="cellIs" dxfId="10705" priority="13597" stopIfTrue="1" operator="between">
      <formula>0</formula>
      <formula>0.5</formula>
    </cfRule>
  </conditionalFormatting>
  <conditionalFormatting sqref="P62">
    <cfRule type="cellIs" dxfId="10704" priority="13588" operator="between">
      <formula>0.76</formula>
      <formula>0.95</formula>
    </cfRule>
    <cfRule type="cellIs" dxfId="10703" priority="13589" operator="between">
      <formula>0.51</formula>
      <formula>0.75</formula>
    </cfRule>
    <cfRule type="cellIs" dxfId="10702" priority="13590" operator="greaterThan">
      <formula>1</formula>
    </cfRule>
    <cfRule type="cellIs" dxfId="10701" priority="13591" operator="between">
      <formula>0.95</formula>
      <formula>1</formula>
    </cfRule>
    <cfRule type="cellIs" dxfId="10700" priority="13592" stopIfTrue="1" operator="between">
      <formula>0</formula>
      <formula>0.5</formula>
    </cfRule>
  </conditionalFormatting>
  <conditionalFormatting sqref="P64">
    <cfRule type="cellIs" dxfId="10699" priority="13583" operator="between">
      <formula>0.76</formula>
      <formula>0.95</formula>
    </cfRule>
    <cfRule type="cellIs" dxfId="10698" priority="13584" operator="between">
      <formula>0.51</formula>
      <formula>0.75</formula>
    </cfRule>
    <cfRule type="cellIs" dxfId="10697" priority="13585" operator="greaterThan">
      <formula>1</formula>
    </cfRule>
    <cfRule type="cellIs" dxfId="10696" priority="13586" operator="between">
      <formula>0.95</formula>
      <formula>1</formula>
    </cfRule>
    <cfRule type="cellIs" dxfId="10695" priority="13587" stopIfTrue="1" operator="between">
      <formula>0</formula>
      <formula>0.5</formula>
    </cfRule>
  </conditionalFormatting>
  <conditionalFormatting sqref="P65">
    <cfRule type="cellIs" dxfId="10694" priority="13578" operator="between">
      <formula>0.76</formula>
      <formula>0.95</formula>
    </cfRule>
    <cfRule type="cellIs" dxfId="10693" priority="13579" operator="between">
      <formula>0.51</formula>
      <formula>0.75</formula>
    </cfRule>
    <cfRule type="cellIs" dxfId="10692" priority="13580" operator="greaterThan">
      <formula>1</formula>
    </cfRule>
    <cfRule type="cellIs" dxfId="10691" priority="13581" operator="between">
      <formula>0.95</formula>
      <formula>1</formula>
    </cfRule>
    <cfRule type="cellIs" dxfId="10690" priority="13582" stopIfTrue="1" operator="between">
      <formula>0</formula>
      <formula>0.5</formula>
    </cfRule>
  </conditionalFormatting>
  <conditionalFormatting sqref="P66">
    <cfRule type="cellIs" dxfId="10689" priority="13573" operator="between">
      <formula>0.76</formula>
      <formula>0.95</formula>
    </cfRule>
    <cfRule type="cellIs" dxfId="10688" priority="13574" operator="between">
      <formula>0.51</formula>
      <formula>0.75</formula>
    </cfRule>
    <cfRule type="cellIs" dxfId="10687" priority="13575" operator="greaterThan">
      <formula>1</formula>
    </cfRule>
    <cfRule type="cellIs" dxfId="10686" priority="13576" operator="between">
      <formula>0.95</formula>
      <formula>1</formula>
    </cfRule>
    <cfRule type="cellIs" dxfId="10685" priority="13577" stopIfTrue="1" operator="between">
      <formula>0</formula>
      <formula>0.5</formula>
    </cfRule>
  </conditionalFormatting>
  <conditionalFormatting sqref="P67">
    <cfRule type="cellIs" dxfId="10684" priority="13568" operator="between">
      <formula>0.76</formula>
      <formula>0.95</formula>
    </cfRule>
    <cfRule type="cellIs" dxfId="10683" priority="13569" operator="between">
      <formula>0.51</formula>
      <formula>0.75</formula>
    </cfRule>
    <cfRule type="cellIs" dxfId="10682" priority="13570" operator="greaterThan">
      <formula>1</formula>
    </cfRule>
    <cfRule type="cellIs" dxfId="10681" priority="13571" operator="between">
      <formula>0.95</formula>
      <formula>1</formula>
    </cfRule>
    <cfRule type="cellIs" dxfId="10680" priority="13572" stopIfTrue="1" operator="between">
      <formula>0</formula>
      <formula>0.5</formula>
    </cfRule>
  </conditionalFormatting>
  <conditionalFormatting sqref="P68">
    <cfRule type="cellIs" dxfId="10679" priority="13563" operator="between">
      <formula>0.76</formula>
      <formula>0.95</formula>
    </cfRule>
    <cfRule type="cellIs" dxfId="10678" priority="13564" operator="between">
      <formula>0.51</formula>
      <formula>0.75</formula>
    </cfRule>
    <cfRule type="cellIs" dxfId="10677" priority="13565" operator="greaterThan">
      <formula>1</formula>
    </cfRule>
    <cfRule type="cellIs" dxfId="10676" priority="13566" operator="between">
      <formula>0.95</formula>
      <formula>1</formula>
    </cfRule>
    <cfRule type="cellIs" dxfId="10675" priority="13567" stopIfTrue="1" operator="between">
      <formula>0</formula>
      <formula>0.5</formula>
    </cfRule>
  </conditionalFormatting>
  <conditionalFormatting sqref="P69">
    <cfRule type="cellIs" dxfId="10674" priority="13558" operator="between">
      <formula>0.76</formula>
      <formula>0.95</formula>
    </cfRule>
    <cfRule type="cellIs" dxfId="10673" priority="13559" operator="between">
      <formula>0.51</formula>
      <formula>0.75</formula>
    </cfRule>
    <cfRule type="cellIs" dxfId="10672" priority="13560" operator="greaterThan">
      <formula>1</formula>
    </cfRule>
    <cfRule type="cellIs" dxfId="10671" priority="13561" operator="between">
      <formula>0.95</formula>
      <formula>1</formula>
    </cfRule>
    <cfRule type="cellIs" dxfId="10670" priority="13562" stopIfTrue="1" operator="between">
      <formula>0</formula>
      <formula>0.5</formula>
    </cfRule>
  </conditionalFormatting>
  <conditionalFormatting sqref="P70">
    <cfRule type="cellIs" dxfId="10669" priority="13553" operator="between">
      <formula>0.76</formula>
      <formula>0.95</formula>
    </cfRule>
    <cfRule type="cellIs" dxfId="10668" priority="13554" operator="between">
      <formula>0.51</formula>
      <formula>0.75</formula>
    </cfRule>
    <cfRule type="cellIs" dxfId="10667" priority="13555" operator="greaterThan">
      <formula>1</formula>
    </cfRule>
    <cfRule type="cellIs" dxfId="10666" priority="13556" operator="between">
      <formula>0.95</formula>
      <formula>1</formula>
    </cfRule>
    <cfRule type="cellIs" dxfId="10665" priority="13557" stopIfTrue="1" operator="between">
      <formula>0</formula>
      <formula>0.5</formula>
    </cfRule>
  </conditionalFormatting>
  <conditionalFormatting sqref="P71">
    <cfRule type="cellIs" dxfId="10664" priority="13548" operator="between">
      <formula>0.76</formula>
      <formula>0.95</formula>
    </cfRule>
    <cfRule type="cellIs" dxfId="10663" priority="13549" operator="between">
      <formula>0.51</formula>
      <formula>0.75</formula>
    </cfRule>
    <cfRule type="cellIs" dxfId="10662" priority="13550" operator="greaterThan">
      <formula>1</formula>
    </cfRule>
    <cfRule type="cellIs" dxfId="10661" priority="13551" operator="between">
      <formula>0.95</formula>
      <formula>1</formula>
    </cfRule>
    <cfRule type="cellIs" dxfId="10660" priority="13552" stopIfTrue="1" operator="between">
      <formula>0</formula>
      <formula>0.5</formula>
    </cfRule>
  </conditionalFormatting>
  <conditionalFormatting sqref="P72">
    <cfRule type="cellIs" dxfId="10659" priority="13543" operator="between">
      <formula>0.76</formula>
      <formula>0.95</formula>
    </cfRule>
    <cfRule type="cellIs" dxfId="10658" priority="13544" operator="between">
      <formula>0.51</formula>
      <formula>0.75</formula>
    </cfRule>
    <cfRule type="cellIs" dxfId="10657" priority="13545" operator="greaterThan">
      <formula>1</formula>
    </cfRule>
    <cfRule type="cellIs" dxfId="10656" priority="13546" operator="between">
      <formula>0.95</formula>
      <formula>1</formula>
    </cfRule>
    <cfRule type="cellIs" dxfId="10655" priority="13547" stopIfTrue="1" operator="between">
      <formula>0</formula>
      <formula>0.5</formula>
    </cfRule>
  </conditionalFormatting>
  <conditionalFormatting sqref="P75">
    <cfRule type="cellIs" dxfId="10654" priority="13538" operator="between">
      <formula>0.76</formula>
      <formula>0.95</formula>
    </cfRule>
    <cfRule type="cellIs" dxfId="10653" priority="13539" operator="between">
      <formula>0.51</formula>
      <formula>0.75</formula>
    </cfRule>
    <cfRule type="cellIs" dxfId="10652" priority="13540" operator="greaterThan">
      <formula>1</formula>
    </cfRule>
    <cfRule type="cellIs" dxfId="10651" priority="13541" operator="between">
      <formula>0.95</formula>
      <formula>1</formula>
    </cfRule>
    <cfRule type="cellIs" dxfId="10650" priority="13542" stopIfTrue="1" operator="between">
      <formula>0</formula>
      <formula>0.5</formula>
    </cfRule>
  </conditionalFormatting>
  <conditionalFormatting sqref="P76">
    <cfRule type="cellIs" dxfId="10649" priority="13533" operator="between">
      <formula>0.76</formula>
      <formula>0.95</formula>
    </cfRule>
    <cfRule type="cellIs" dxfId="10648" priority="13534" operator="between">
      <formula>0.51</formula>
      <formula>0.75</formula>
    </cfRule>
    <cfRule type="cellIs" dxfId="10647" priority="13535" operator="greaterThan">
      <formula>1</formula>
    </cfRule>
    <cfRule type="cellIs" dxfId="10646" priority="13536" operator="between">
      <formula>0.95</formula>
      <formula>1</formula>
    </cfRule>
    <cfRule type="cellIs" dxfId="10645" priority="13537" stopIfTrue="1" operator="between">
      <formula>0</formula>
      <formula>0.5</formula>
    </cfRule>
  </conditionalFormatting>
  <conditionalFormatting sqref="P77">
    <cfRule type="cellIs" dxfId="10644" priority="13528" operator="between">
      <formula>0.76</formula>
      <formula>0.95</formula>
    </cfRule>
    <cfRule type="cellIs" dxfId="10643" priority="13529" operator="between">
      <formula>0.51</formula>
      <formula>0.75</formula>
    </cfRule>
    <cfRule type="cellIs" dxfId="10642" priority="13530" operator="greaterThan">
      <formula>1</formula>
    </cfRule>
    <cfRule type="cellIs" dxfId="10641" priority="13531" operator="between">
      <formula>0.95</formula>
      <formula>1</formula>
    </cfRule>
    <cfRule type="cellIs" dxfId="10640" priority="13532" stopIfTrue="1" operator="between">
      <formula>0</formula>
      <formula>0.5</formula>
    </cfRule>
  </conditionalFormatting>
  <conditionalFormatting sqref="P78">
    <cfRule type="cellIs" dxfId="10639" priority="13523" operator="between">
      <formula>0.76</formula>
      <formula>0.95</formula>
    </cfRule>
    <cfRule type="cellIs" dxfId="10638" priority="13524" operator="between">
      <formula>0.51</formula>
      <formula>0.75</formula>
    </cfRule>
    <cfRule type="cellIs" dxfId="10637" priority="13525" operator="greaterThan">
      <formula>1</formula>
    </cfRule>
    <cfRule type="cellIs" dxfId="10636" priority="13526" operator="between">
      <formula>0.95</formula>
      <formula>1</formula>
    </cfRule>
    <cfRule type="cellIs" dxfId="10635" priority="13527" stopIfTrue="1" operator="between">
      <formula>0</formula>
      <formula>0.5</formula>
    </cfRule>
  </conditionalFormatting>
  <conditionalFormatting sqref="P81">
    <cfRule type="cellIs" dxfId="10634" priority="13518" operator="between">
      <formula>0.76</formula>
      <formula>0.95</formula>
    </cfRule>
    <cfRule type="cellIs" dxfId="10633" priority="13519" operator="between">
      <formula>0.51</formula>
      <formula>0.75</formula>
    </cfRule>
    <cfRule type="cellIs" dxfId="10632" priority="13520" operator="greaterThan">
      <formula>1</formula>
    </cfRule>
    <cfRule type="cellIs" dxfId="10631" priority="13521" operator="between">
      <formula>0.95</formula>
      <formula>1</formula>
    </cfRule>
    <cfRule type="cellIs" dxfId="10630" priority="13522" stopIfTrue="1" operator="between">
      <formula>0</formula>
      <formula>0.5</formula>
    </cfRule>
  </conditionalFormatting>
  <conditionalFormatting sqref="P82">
    <cfRule type="cellIs" dxfId="10629" priority="13513" operator="between">
      <formula>0.76</formula>
      <formula>0.95</formula>
    </cfRule>
    <cfRule type="cellIs" dxfId="10628" priority="13514" operator="between">
      <formula>0.51</formula>
      <formula>0.75</formula>
    </cfRule>
    <cfRule type="cellIs" dxfId="10627" priority="13515" operator="greaterThan">
      <formula>1</formula>
    </cfRule>
    <cfRule type="cellIs" dxfId="10626" priority="13516" operator="between">
      <formula>0.95</formula>
      <formula>1</formula>
    </cfRule>
    <cfRule type="cellIs" dxfId="10625" priority="13517" stopIfTrue="1" operator="between">
      <formula>0</formula>
      <formula>0.5</formula>
    </cfRule>
  </conditionalFormatting>
  <conditionalFormatting sqref="P83">
    <cfRule type="cellIs" dxfId="10624" priority="13508" operator="between">
      <formula>0.76</formula>
      <formula>0.95</formula>
    </cfRule>
    <cfRule type="cellIs" dxfId="10623" priority="13509" operator="between">
      <formula>0.51</formula>
      <formula>0.75</formula>
    </cfRule>
    <cfRule type="cellIs" dxfId="10622" priority="13510" operator="greaterThan">
      <formula>1</formula>
    </cfRule>
    <cfRule type="cellIs" dxfId="10621" priority="13511" operator="between">
      <formula>0.95</formula>
      <formula>1</formula>
    </cfRule>
    <cfRule type="cellIs" dxfId="10620" priority="13512" stopIfTrue="1" operator="between">
      <formula>0</formula>
      <formula>0.5</formula>
    </cfRule>
  </conditionalFormatting>
  <conditionalFormatting sqref="P84">
    <cfRule type="cellIs" dxfId="10619" priority="13503" operator="between">
      <formula>0.76</formula>
      <formula>0.95</formula>
    </cfRule>
    <cfRule type="cellIs" dxfId="10618" priority="13504" operator="between">
      <formula>0.51</formula>
      <formula>0.75</formula>
    </cfRule>
    <cfRule type="cellIs" dxfId="10617" priority="13505" operator="greaterThan">
      <formula>1</formula>
    </cfRule>
    <cfRule type="cellIs" dxfId="10616" priority="13506" operator="between">
      <formula>0.95</formula>
      <formula>1</formula>
    </cfRule>
    <cfRule type="cellIs" dxfId="10615" priority="13507" stopIfTrue="1" operator="between">
      <formula>0</formula>
      <formula>0.5</formula>
    </cfRule>
  </conditionalFormatting>
  <conditionalFormatting sqref="P85">
    <cfRule type="cellIs" dxfId="10614" priority="13498" operator="between">
      <formula>0.76</formula>
      <formula>0.95</formula>
    </cfRule>
    <cfRule type="cellIs" dxfId="10613" priority="13499" operator="between">
      <formula>0.51</formula>
      <formula>0.75</formula>
    </cfRule>
    <cfRule type="cellIs" dxfId="10612" priority="13500" operator="greaterThan">
      <formula>1</formula>
    </cfRule>
    <cfRule type="cellIs" dxfId="10611" priority="13501" operator="between">
      <formula>0.95</formula>
      <formula>1</formula>
    </cfRule>
    <cfRule type="cellIs" dxfId="10610" priority="13502" stopIfTrue="1" operator="between">
      <formula>0</formula>
      <formula>0.5</formula>
    </cfRule>
  </conditionalFormatting>
  <conditionalFormatting sqref="P86">
    <cfRule type="cellIs" dxfId="10609" priority="13493" operator="between">
      <formula>0.76</formula>
      <formula>0.95</formula>
    </cfRule>
    <cfRule type="cellIs" dxfId="10608" priority="13494" operator="between">
      <formula>0.51</formula>
      <formula>0.75</formula>
    </cfRule>
    <cfRule type="cellIs" dxfId="10607" priority="13495" operator="greaterThan">
      <formula>1</formula>
    </cfRule>
    <cfRule type="cellIs" dxfId="10606" priority="13496" operator="between">
      <formula>0.95</formula>
      <formula>1</formula>
    </cfRule>
    <cfRule type="cellIs" dxfId="10605" priority="13497" stopIfTrue="1" operator="between">
      <formula>0</formula>
      <formula>0.5</formula>
    </cfRule>
  </conditionalFormatting>
  <conditionalFormatting sqref="P91">
    <cfRule type="cellIs" dxfId="10604" priority="13488" operator="between">
      <formula>0.76</formula>
      <formula>0.95</formula>
    </cfRule>
    <cfRule type="cellIs" dxfId="10603" priority="13489" operator="between">
      <formula>0.51</formula>
      <formula>0.75</formula>
    </cfRule>
    <cfRule type="cellIs" dxfId="10602" priority="13490" operator="greaterThan">
      <formula>1</formula>
    </cfRule>
    <cfRule type="cellIs" dxfId="10601" priority="13491" operator="between">
      <formula>0.95</formula>
      <formula>1</formula>
    </cfRule>
    <cfRule type="cellIs" dxfId="10600" priority="13492" stopIfTrue="1" operator="between">
      <formula>0</formula>
      <formula>0.5</formula>
    </cfRule>
  </conditionalFormatting>
  <conditionalFormatting sqref="P94">
    <cfRule type="cellIs" dxfId="10599" priority="13483" operator="between">
      <formula>0.76</formula>
      <formula>0.95</formula>
    </cfRule>
    <cfRule type="cellIs" dxfId="10598" priority="13484" operator="between">
      <formula>0.51</formula>
      <formula>0.75</formula>
    </cfRule>
    <cfRule type="cellIs" dxfId="10597" priority="13485" operator="greaterThan">
      <formula>1</formula>
    </cfRule>
    <cfRule type="cellIs" dxfId="10596" priority="13486" operator="between">
      <formula>0.95</formula>
      <formula>1</formula>
    </cfRule>
    <cfRule type="cellIs" dxfId="10595" priority="13487" stopIfTrue="1" operator="between">
      <formula>0</formula>
      <formula>0.5</formula>
    </cfRule>
  </conditionalFormatting>
  <conditionalFormatting sqref="P95">
    <cfRule type="cellIs" dxfId="10594" priority="13478" operator="between">
      <formula>0.76</formula>
      <formula>0.95</formula>
    </cfRule>
    <cfRule type="cellIs" dxfId="10593" priority="13479" operator="between">
      <formula>0.51</formula>
      <formula>0.75</formula>
    </cfRule>
    <cfRule type="cellIs" dxfId="10592" priority="13480" operator="greaterThan">
      <formula>1</formula>
    </cfRule>
    <cfRule type="cellIs" dxfId="10591" priority="13481" operator="between">
      <formula>0.95</formula>
      <formula>1</formula>
    </cfRule>
    <cfRule type="cellIs" dxfId="10590" priority="13482" stopIfTrue="1" operator="between">
      <formula>0</formula>
      <formula>0.5</formula>
    </cfRule>
  </conditionalFormatting>
  <conditionalFormatting sqref="P96">
    <cfRule type="cellIs" dxfId="10589" priority="13473" operator="between">
      <formula>0.76</formula>
      <formula>0.95</formula>
    </cfRule>
    <cfRule type="cellIs" dxfId="10588" priority="13474" operator="between">
      <formula>0.51</formula>
      <formula>0.75</formula>
    </cfRule>
    <cfRule type="cellIs" dxfId="10587" priority="13475" operator="greaterThan">
      <formula>1</formula>
    </cfRule>
    <cfRule type="cellIs" dxfId="10586" priority="13476" operator="between">
      <formula>0.95</formula>
      <formula>1</formula>
    </cfRule>
    <cfRule type="cellIs" dxfId="10585" priority="13477" stopIfTrue="1" operator="between">
      <formula>0</formula>
      <formula>0.5</formula>
    </cfRule>
  </conditionalFormatting>
  <conditionalFormatting sqref="P97">
    <cfRule type="cellIs" dxfId="10584" priority="13468" operator="between">
      <formula>0.76</formula>
      <formula>0.95</formula>
    </cfRule>
    <cfRule type="cellIs" dxfId="10583" priority="13469" operator="between">
      <formula>0.51</formula>
      <formula>0.75</formula>
    </cfRule>
    <cfRule type="cellIs" dxfId="10582" priority="13470" operator="greaterThan">
      <formula>1</formula>
    </cfRule>
    <cfRule type="cellIs" dxfId="10581" priority="13471" operator="between">
      <formula>0.95</formula>
      <formula>1</formula>
    </cfRule>
    <cfRule type="cellIs" dxfId="10580" priority="13472" stopIfTrue="1" operator="between">
      <formula>0</formula>
      <formula>0.5</formula>
    </cfRule>
  </conditionalFormatting>
  <conditionalFormatting sqref="P98">
    <cfRule type="cellIs" dxfId="10579" priority="13463" operator="between">
      <formula>0.76</formula>
      <formula>0.95</formula>
    </cfRule>
    <cfRule type="cellIs" dxfId="10578" priority="13464" operator="between">
      <formula>0.51</formula>
      <formula>0.75</formula>
    </cfRule>
    <cfRule type="cellIs" dxfId="10577" priority="13465" operator="greaterThan">
      <formula>1</formula>
    </cfRule>
    <cfRule type="cellIs" dxfId="10576" priority="13466" operator="between">
      <formula>0.95</formula>
      <formula>1</formula>
    </cfRule>
    <cfRule type="cellIs" dxfId="10575" priority="13467" stopIfTrue="1" operator="between">
      <formula>0</formula>
      <formula>0.5</formula>
    </cfRule>
  </conditionalFormatting>
  <conditionalFormatting sqref="P99">
    <cfRule type="cellIs" dxfId="10574" priority="13458" operator="between">
      <formula>0.76</formula>
      <formula>0.95</formula>
    </cfRule>
    <cfRule type="cellIs" dxfId="10573" priority="13459" operator="between">
      <formula>0.51</formula>
      <formula>0.75</formula>
    </cfRule>
    <cfRule type="cellIs" dxfId="10572" priority="13460" operator="greaterThan">
      <formula>1</formula>
    </cfRule>
    <cfRule type="cellIs" dxfId="10571" priority="13461" operator="between">
      <formula>0.95</formula>
      <formula>1</formula>
    </cfRule>
    <cfRule type="cellIs" dxfId="10570" priority="13462" stopIfTrue="1" operator="between">
      <formula>0</formula>
      <formula>0.5</formula>
    </cfRule>
  </conditionalFormatting>
  <conditionalFormatting sqref="P101">
    <cfRule type="cellIs" dxfId="10569" priority="13453" operator="between">
      <formula>0.76</formula>
      <formula>0.95</formula>
    </cfRule>
    <cfRule type="cellIs" dxfId="10568" priority="13454" operator="between">
      <formula>0.51</formula>
      <formula>0.75</formula>
    </cfRule>
    <cfRule type="cellIs" dxfId="10567" priority="13455" operator="greaterThan">
      <formula>1</formula>
    </cfRule>
    <cfRule type="cellIs" dxfId="10566" priority="13456" operator="between">
      <formula>0.95</formula>
      <formula>1</formula>
    </cfRule>
    <cfRule type="cellIs" dxfId="10565" priority="13457" stopIfTrue="1" operator="between">
      <formula>0</formula>
      <formula>0.5</formula>
    </cfRule>
  </conditionalFormatting>
  <conditionalFormatting sqref="P102">
    <cfRule type="cellIs" dxfId="10564" priority="13443" operator="between">
      <formula>0.76</formula>
      <formula>0.95</formula>
    </cfRule>
    <cfRule type="cellIs" dxfId="10563" priority="13444" operator="between">
      <formula>0.51</formula>
      <formula>0.75</formula>
    </cfRule>
    <cfRule type="cellIs" dxfId="10562" priority="13445" operator="greaterThan">
      <formula>1</formula>
    </cfRule>
    <cfRule type="cellIs" dxfId="10561" priority="13446" operator="between">
      <formula>0.95</formula>
      <formula>1</formula>
    </cfRule>
    <cfRule type="cellIs" dxfId="10560" priority="13447" stopIfTrue="1" operator="between">
      <formula>0</formula>
      <formula>0.5</formula>
    </cfRule>
  </conditionalFormatting>
  <conditionalFormatting sqref="P104">
    <cfRule type="cellIs" dxfId="10559" priority="13433" operator="between">
      <formula>0.76</formula>
      <formula>0.95</formula>
    </cfRule>
    <cfRule type="cellIs" dxfId="10558" priority="13434" operator="between">
      <formula>0.51</formula>
      <formula>0.75</formula>
    </cfRule>
    <cfRule type="cellIs" dxfId="10557" priority="13435" operator="greaterThan">
      <formula>1</formula>
    </cfRule>
    <cfRule type="cellIs" dxfId="10556" priority="13436" operator="between">
      <formula>0.95</formula>
      <formula>1</formula>
    </cfRule>
    <cfRule type="cellIs" dxfId="10555" priority="13437" stopIfTrue="1" operator="between">
      <formula>0</formula>
      <formula>0.5</formula>
    </cfRule>
  </conditionalFormatting>
  <conditionalFormatting sqref="P106">
    <cfRule type="cellIs" dxfId="10554" priority="13423" operator="between">
      <formula>0.76</formula>
      <formula>0.95</formula>
    </cfRule>
    <cfRule type="cellIs" dxfId="10553" priority="13424" operator="between">
      <formula>0.51</formula>
      <formula>0.75</formula>
    </cfRule>
    <cfRule type="cellIs" dxfId="10552" priority="13425" operator="greaterThan">
      <formula>1</formula>
    </cfRule>
    <cfRule type="cellIs" dxfId="10551" priority="13426" operator="between">
      <formula>0.95</formula>
      <formula>1</formula>
    </cfRule>
    <cfRule type="cellIs" dxfId="10550" priority="13427" stopIfTrue="1" operator="between">
      <formula>0</formula>
      <formula>0.5</formula>
    </cfRule>
  </conditionalFormatting>
  <conditionalFormatting sqref="P107">
    <cfRule type="cellIs" dxfId="10549" priority="13418" operator="between">
      <formula>0.76</formula>
      <formula>0.95</formula>
    </cfRule>
    <cfRule type="cellIs" dxfId="10548" priority="13419" operator="between">
      <formula>0.51</formula>
      <formula>0.75</formula>
    </cfRule>
    <cfRule type="cellIs" dxfId="10547" priority="13420" operator="greaterThan">
      <formula>1</formula>
    </cfRule>
    <cfRule type="cellIs" dxfId="10546" priority="13421" operator="between">
      <formula>0.95</formula>
      <formula>1</formula>
    </cfRule>
    <cfRule type="cellIs" dxfId="10545" priority="13422" stopIfTrue="1" operator="between">
      <formula>0</formula>
      <formula>0.5</formula>
    </cfRule>
  </conditionalFormatting>
  <conditionalFormatting sqref="P108">
    <cfRule type="cellIs" dxfId="10544" priority="13413" operator="between">
      <formula>0.76</formula>
      <formula>0.95</formula>
    </cfRule>
    <cfRule type="cellIs" dxfId="10543" priority="13414" operator="between">
      <formula>0.51</formula>
      <formula>0.75</formula>
    </cfRule>
    <cfRule type="cellIs" dxfId="10542" priority="13415" operator="greaterThan">
      <formula>1</formula>
    </cfRule>
    <cfRule type="cellIs" dxfId="10541" priority="13416" operator="between">
      <formula>0.95</formula>
      <formula>1</formula>
    </cfRule>
    <cfRule type="cellIs" dxfId="10540" priority="13417" stopIfTrue="1" operator="between">
      <formula>0</formula>
      <formula>0.5</formula>
    </cfRule>
  </conditionalFormatting>
  <conditionalFormatting sqref="P109">
    <cfRule type="cellIs" dxfId="10539" priority="13408" operator="between">
      <formula>0.76</formula>
      <formula>0.95</formula>
    </cfRule>
    <cfRule type="cellIs" dxfId="10538" priority="13409" operator="between">
      <formula>0.51</formula>
      <formula>0.75</formula>
    </cfRule>
    <cfRule type="cellIs" dxfId="10537" priority="13410" operator="greaterThan">
      <formula>1</formula>
    </cfRule>
    <cfRule type="cellIs" dxfId="10536" priority="13411" operator="between">
      <formula>0.95</formula>
      <formula>1</formula>
    </cfRule>
    <cfRule type="cellIs" dxfId="10535" priority="13412" stopIfTrue="1" operator="between">
      <formula>0</formula>
      <formula>0.5</formula>
    </cfRule>
  </conditionalFormatting>
  <conditionalFormatting sqref="P110">
    <cfRule type="cellIs" dxfId="10534" priority="13403" operator="between">
      <formula>0.76</formula>
      <formula>0.95</formula>
    </cfRule>
    <cfRule type="cellIs" dxfId="10533" priority="13404" operator="between">
      <formula>0.51</formula>
      <formula>0.75</formula>
    </cfRule>
    <cfRule type="cellIs" dxfId="10532" priority="13405" operator="greaterThan">
      <formula>1</formula>
    </cfRule>
    <cfRule type="cellIs" dxfId="10531" priority="13406" operator="between">
      <formula>0.95</formula>
      <formula>1</formula>
    </cfRule>
    <cfRule type="cellIs" dxfId="10530" priority="13407" stopIfTrue="1" operator="between">
      <formula>0</formula>
      <formula>0.5</formula>
    </cfRule>
  </conditionalFormatting>
  <conditionalFormatting sqref="P111">
    <cfRule type="cellIs" dxfId="10529" priority="13398" operator="between">
      <formula>0.76</formula>
      <formula>0.95</formula>
    </cfRule>
    <cfRule type="cellIs" dxfId="10528" priority="13399" operator="between">
      <formula>0.51</formula>
      <formula>0.75</formula>
    </cfRule>
    <cfRule type="cellIs" dxfId="10527" priority="13400" operator="greaterThan">
      <formula>1</formula>
    </cfRule>
    <cfRule type="cellIs" dxfId="10526" priority="13401" operator="between">
      <formula>0.95</formula>
      <formula>1</formula>
    </cfRule>
    <cfRule type="cellIs" dxfId="10525" priority="13402" stopIfTrue="1" operator="between">
      <formula>0</formula>
      <formula>0.5</formula>
    </cfRule>
  </conditionalFormatting>
  <conditionalFormatting sqref="P112">
    <cfRule type="cellIs" dxfId="10524" priority="13393" operator="between">
      <formula>0.76</formula>
      <formula>0.95</formula>
    </cfRule>
    <cfRule type="cellIs" dxfId="10523" priority="13394" operator="between">
      <formula>0.51</formula>
      <formula>0.75</formula>
    </cfRule>
    <cfRule type="cellIs" dxfId="10522" priority="13395" operator="greaterThan">
      <formula>1</formula>
    </cfRule>
    <cfRule type="cellIs" dxfId="10521" priority="13396" operator="between">
      <formula>0.95</formula>
      <formula>1</formula>
    </cfRule>
    <cfRule type="cellIs" dxfId="10520" priority="13397" stopIfTrue="1" operator="between">
      <formula>0</formula>
      <formula>0.5</formula>
    </cfRule>
  </conditionalFormatting>
  <conditionalFormatting sqref="P114">
    <cfRule type="cellIs" dxfId="10519" priority="13388" operator="between">
      <formula>0.76</formula>
      <formula>0.95</formula>
    </cfRule>
    <cfRule type="cellIs" dxfId="10518" priority="13389" operator="between">
      <formula>0.51</formula>
      <formula>0.75</formula>
    </cfRule>
    <cfRule type="cellIs" dxfId="10517" priority="13390" operator="greaterThan">
      <formula>1</formula>
    </cfRule>
    <cfRule type="cellIs" dxfId="10516" priority="13391" operator="between">
      <formula>0.95</formula>
      <formula>1</formula>
    </cfRule>
    <cfRule type="cellIs" dxfId="10515" priority="13392" stopIfTrue="1" operator="between">
      <formula>0</formula>
      <formula>0.5</formula>
    </cfRule>
  </conditionalFormatting>
  <conditionalFormatting sqref="P115">
    <cfRule type="cellIs" dxfId="10514" priority="13383" operator="between">
      <formula>0.76</formula>
      <formula>0.95</formula>
    </cfRule>
    <cfRule type="cellIs" dxfId="10513" priority="13384" operator="between">
      <formula>0.51</formula>
      <formula>0.75</formula>
    </cfRule>
    <cfRule type="cellIs" dxfId="10512" priority="13385" operator="greaterThan">
      <formula>1</formula>
    </cfRule>
    <cfRule type="cellIs" dxfId="10511" priority="13386" operator="between">
      <formula>0.95</formula>
      <formula>1</formula>
    </cfRule>
    <cfRule type="cellIs" dxfId="10510" priority="13387" stopIfTrue="1" operator="between">
      <formula>0</formula>
      <formula>0.5</formula>
    </cfRule>
  </conditionalFormatting>
  <conditionalFormatting sqref="P116">
    <cfRule type="cellIs" dxfId="10509" priority="13378" operator="between">
      <formula>0.76</formula>
      <formula>0.95</formula>
    </cfRule>
    <cfRule type="cellIs" dxfId="10508" priority="13379" operator="between">
      <formula>0.51</formula>
      <formula>0.75</formula>
    </cfRule>
    <cfRule type="cellIs" dxfId="10507" priority="13380" operator="greaterThan">
      <formula>1</formula>
    </cfRule>
    <cfRule type="cellIs" dxfId="10506" priority="13381" operator="between">
      <formula>0.95</formula>
      <formula>1</formula>
    </cfRule>
    <cfRule type="cellIs" dxfId="10505" priority="13382" stopIfTrue="1" operator="between">
      <formula>0</formula>
      <formula>0.5</formula>
    </cfRule>
  </conditionalFormatting>
  <conditionalFormatting sqref="P117">
    <cfRule type="cellIs" dxfId="10504" priority="13368" operator="between">
      <formula>0.76</formula>
      <formula>0.95</formula>
    </cfRule>
    <cfRule type="cellIs" dxfId="10503" priority="13369" operator="between">
      <formula>0.51</formula>
      <formula>0.75</formula>
    </cfRule>
    <cfRule type="cellIs" dxfId="10502" priority="13370" operator="greaterThan">
      <formula>1</formula>
    </cfRule>
    <cfRule type="cellIs" dxfId="10501" priority="13371" operator="between">
      <formula>0.95</formula>
      <formula>1</formula>
    </cfRule>
    <cfRule type="cellIs" dxfId="10500" priority="13372" stopIfTrue="1" operator="between">
      <formula>0</formula>
      <formula>0.5</formula>
    </cfRule>
  </conditionalFormatting>
  <conditionalFormatting sqref="P121">
    <cfRule type="cellIs" dxfId="10499" priority="13363" operator="between">
      <formula>0.76</formula>
      <formula>0.95</formula>
    </cfRule>
    <cfRule type="cellIs" dxfId="10498" priority="13364" operator="between">
      <formula>0.51</formula>
      <formula>0.75</formula>
    </cfRule>
    <cfRule type="cellIs" dxfId="10497" priority="13365" operator="greaterThan">
      <formula>1</formula>
    </cfRule>
    <cfRule type="cellIs" dxfId="10496" priority="13366" operator="between">
      <formula>0.95</formula>
      <formula>1</formula>
    </cfRule>
    <cfRule type="cellIs" dxfId="10495" priority="13367" stopIfTrue="1" operator="between">
      <formula>0</formula>
      <formula>0.5</formula>
    </cfRule>
  </conditionalFormatting>
  <conditionalFormatting sqref="P122">
    <cfRule type="cellIs" dxfId="10494" priority="13358" operator="between">
      <formula>0.76</formula>
      <formula>0.95</formula>
    </cfRule>
    <cfRule type="cellIs" dxfId="10493" priority="13359" operator="between">
      <formula>0.51</formula>
      <formula>0.75</formula>
    </cfRule>
    <cfRule type="cellIs" dxfId="10492" priority="13360" operator="greaterThan">
      <formula>1</formula>
    </cfRule>
    <cfRule type="cellIs" dxfId="10491" priority="13361" operator="between">
      <formula>0.95</formula>
      <formula>1</formula>
    </cfRule>
    <cfRule type="cellIs" dxfId="10490" priority="13362" stopIfTrue="1" operator="between">
      <formula>0</formula>
      <formula>0.5</formula>
    </cfRule>
  </conditionalFormatting>
  <conditionalFormatting sqref="P123">
    <cfRule type="cellIs" dxfId="10489" priority="13353" operator="between">
      <formula>0.76</formula>
      <formula>0.95</formula>
    </cfRule>
    <cfRule type="cellIs" dxfId="10488" priority="13354" operator="between">
      <formula>0.51</formula>
      <formula>0.75</formula>
    </cfRule>
    <cfRule type="cellIs" dxfId="10487" priority="13355" operator="greaterThan">
      <formula>1</formula>
    </cfRule>
    <cfRule type="cellIs" dxfId="10486" priority="13356" operator="between">
      <formula>0.95</formula>
      <formula>1</formula>
    </cfRule>
    <cfRule type="cellIs" dxfId="10485" priority="13357" stopIfTrue="1" operator="between">
      <formula>0</formula>
      <formula>0.5</formula>
    </cfRule>
  </conditionalFormatting>
  <conditionalFormatting sqref="P124">
    <cfRule type="cellIs" dxfId="10484" priority="13348" operator="between">
      <formula>0.76</formula>
      <formula>0.95</formula>
    </cfRule>
    <cfRule type="cellIs" dxfId="10483" priority="13349" operator="between">
      <formula>0.51</formula>
      <formula>0.75</formula>
    </cfRule>
    <cfRule type="cellIs" dxfId="10482" priority="13350" operator="greaterThan">
      <formula>1</formula>
    </cfRule>
    <cfRule type="cellIs" dxfId="10481" priority="13351" operator="between">
      <formula>0.95</formula>
      <formula>1</formula>
    </cfRule>
    <cfRule type="cellIs" dxfId="10480" priority="13352" stopIfTrue="1" operator="between">
      <formula>0</formula>
      <formula>0.5</formula>
    </cfRule>
  </conditionalFormatting>
  <conditionalFormatting sqref="P125">
    <cfRule type="cellIs" dxfId="10479" priority="13343" operator="between">
      <formula>0.76</formula>
      <formula>0.95</formula>
    </cfRule>
    <cfRule type="cellIs" dxfId="10478" priority="13344" operator="between">
      <formula>0.51</formula>
      <formula>0.75</formula>
    </cfRule>
    <cfRule type="cellIs" dxfId="10477" priority="13345" operator="greaterThan">
      <formula>1</formula>
    </cfRule>
    <cfRule type="cellIs" dxfId="10476" priority="13346" operator="between">
      <formula>0.95</formula>
      <formula>1</formula>
    </cfRule>
    <cfRule type="cellIs" dxfId="10475" priority="13347" stopIfTrue="1" operator="between">
      <formula>0</formula>
      <formula>0.5</formula>
    </cfRule>
  </conditionalFormatting>
  <conditionalFormatting sqref="P126">
    <cfRule type="cellIs" dxfId="10474" priority="13338" operator="between">
      <formula>0.76</formula>
      <formula>0.95</formula>
    </cfRule>
    <cfRule type="cellIs" dxfId="10473" priority="13339" operator="between">
      <formula>0.51</formula>
      <formula>0.75</formula>
    </cfRule>
    <cfRule type="cellIs" dxfId="10472" priority="13340" operator="greaterThan">
      <formula>1</formula>
    </cfRule>
    <cfRule type="cellIs" dxfId="10471" priority="13341" operator="between">
      <formula>0.95</formula>
      <formula>1</formula>
    </cfRule>
    <cfRule type="cellIs" dxfId="10470" priority="13342" stopIfTrue="1" operator="between">
      <formula>0</formula>
      <formula>0.5</formula>
    </cfRule>
  </conditionalFormatting>
  <conditionalFormatting sqref="P127">
    <cfRule type="cellIs" dxfId="10469" priority="13333" operator="between">
      <formula>0.76</formula>
      <formula>0.95</formula>
    </cfRule>
    <cfRule type="cellIs" dxfId="10468" priority="13334" operator="between">
      <formula>0.51</formula>
      <formula>0.75</formula>
    </cfRule>
    <cfRule type="cellIs" dxfId="10467" priority="13335" operator="greaterThan">
      <formula>1</formula>
    </cfRule>
    <cfRule type="cellIs" dxfId="10466" priority="13336" operator="between">
      <formula>0.95</formula>
      <formula>1</formula>
    </cfRule>
    <cfRule type="cellIs" dxfId="10465" priority="13337" stopIfTrue="1" operator="between">
      <formula>0</formula>
      <formula>0.5</formula>
    </cfRule>
  </conditionalFormatting>
  <conditionalFormatting sqref="P128">
    <cfRule type="cellIs" dxfId="10464" priority="13328" operator="between">
      <formula>0.76</formula>
      <formula>0.95</formula>
    </cfRule>
    <cfRule type="cellIs" dxfId="10463" priority="13329" operator="between">
      <formula>0.51</formula>
      <formula>0.75</formula>
    </cfRule>
    <cfRule type="cellIs" dxfId="10462" priority="13330" operator="greaterThan">
      <formula>1</formula>
    </cfRule>
    <cfRule type="cellIs" dxfId="10461" priority="13331" operator="between">
      <formula>0.95</formula>
      <formula>1</formula>
    </cfRule>
    <cfRule type="cellIs" dxfId="10460" priority="13332" stopIfTrue="1" operator="between">
      <formula>0</formula>
      <formula>0.5</formula>
    </cfRule>
  </conditionalFormatting>
  <conditionalFormatting sqref="P129">
    <cfRule type="cellIs" dxfId="10459" priority="13323" operator="between">
      <formula>0.76</formula>
      <formula>0.95</formula>
    </cfRule>
    <cfRule type="cellIs" dxfId="10458" priority="13324" operator="between">
      <formula>0.51</formula>
      <formula>0.75</formula>
    </cfRule>
    <cfRule type="cellIs" dxfId="10457" priority="13325" operator="greaterThan">
      <formula>1</formula>
    </cfRule>
    <cfRule type="cellIs" dxfId="10456" priority="13326" operator="between">
      <formula>0.95</formula>
      <formula>1</formula>
    </cfRule>
    <cfRule type="cellIs" dxfId="10455" priority="13327" stopIfTrue="1" operator="between">
      <formula>0</formula>
      <formula>0.5</formula>
    </cfRule>
  </conditionalFormatting>
  <conditionalFormatting sqref="P130">
    <cfRule type="cellIs" dxfId="10454" priority="13318" operator="between">
      <formula>0.76</formula>
      <formula>0.95</formula>
    </cfRule>
    <cfRule type="cellIs" dxfId="10453" priority="13319" operator="between">
      <formula>0.51</formula>
      <formula>0.75</formula>
    </cfRule>
    <cfRule type="cellIs" dxfId="10452" priority="13320" operator="greaterThan">
      <formula>1</formula>
    </cfRule>
    <cfRule type="cellIs" dxfId="10451" priority="13321" operator="between">
      <formula>0.95</formula>
      <formula>1</formula>
    </cfRule>
    <cfRule type="cellIs" dxfId="10450" priority="13322" stopIfTrue="1" operator="between">
      <formula>0</formula>
      <formula>0.5</formula>
    </cfRule>
  </conditionalFormatting>
  <conditionalFormatting sqref="P131">
    <cfRule type="cellIs" dxfId="10449" priority="13313" operator="between">
      <formula>0.76</formula>
      <formula>0.95</formula>
    </cfRule>
    <cfRule type="cellIs" dxfId="10448" priority="13314" operator="between">
      <formula>0.51</formula>
      <formula>0.75</formula>
    </cfRule>
    <cfRule type="cellIs" dxfId="10447" priority="13315" operator="greaterThan">
      <formula>1</formula>
    </cfRule>
    <cfRule type="cellIs" dxfId="10446" priority="13316" operator="between">
      <formula>0.95</formula>
      <formula>1</formula>
    </cfRule>
    <cfRule type="cellIs" dxfId="10445" priority="13317" stopIfTrue="1" operator="between">
      <formula>0</formula>
      <formula>0.5</formula>
    </cfRule>
  </conditionalFormatting>
  <conditionalFormatting sqref="P132">
    <cfRule type="cellIs" dxfId="10444" priority="13308" operator="between">
      <formula>0.76</formula>
      <formula>0.95</formula>
    </cfRule>
    <cfRule type="cellIs" dxfId="10443" priority="13309" operator="between">
      <formula>0.51</formula>
      <formula>0.75</formula>
    </cfRule>
    <cfRule type="cellIs" dxfId="10442" priority="13310" operator="greaterThan">
      <formula>1</formula>
    </cfRule>
    <cfRule type="cellIs" dxfId="10441" priority="13311" operator="between">
      <formula>0.95</formula>
      <formula>1</formula>
    </cfRule>
    <cfRule type="cellIs" dxfId="10440" priority="13312" stopIfTrue="1" operator="between">
      <formula>0</formula>
      <formula>0.5</formula>
    </cfRule>
  </conditionalFormatting>
  <conditionalFormatting sqref="P133">
    <cfRule type="cellIs" dxfId="10439" priority="13303" operator="between">
      <formula>0.76</formula>
      <formula>0.95</formula>
    </cfRule>
    <cfRule type="cellIs" dxfId="10438" priority="13304" operator="between">
      <formula>0.51</formula>
      <formula>0.75</formula>
    </cfRule>
    <cfRule type="cellIs" dxfId="10437" priority="13305" operator="greaterThan">
      <formula>1</formula>
    </cfRule>
    <cfRule type="cellIs" dxfId="10436" priority="13306" operator="between">
      <formula>0.95</formula>
      <formula>1</formula>
    </cfRule>
    <cfRule type="cellIs" dxfId="10435" priority="13307" stopIfTrue="1" operator="between">
      <formula>0</formula>
      <formula>0.5</formula>
    </cfRule>
  </conditionalFormatting>
  <conditionalFormatting sqref="P134">
    <cfRule type="cellIs" dxfId="10434" priority="13298" operator="between">
      <formula>0.76</formula>
      <formula>0.95</formula>
    </cfRule>
    <cfRule type="cellIs" dxfId="10433" priority="13299" operator="between">
      <formula>0.51</formula>
      <formula>0.75</formula>
    </cfRule>
    <cfRule type="cellIs" dxfId="10432" priority="13300" operator="greaterThan">
      <formula>1</formula>
    </cfRule>
    <cfRule type="cellIs" dxfId="10431" priority="13301" operator="between">
      <formula>0.95</formula>
      <formula>1</formula>
    </cfRule>
    <cfRule type="cellIs" dxfId="10430" priority="13302" stopIfTrue="1" operator="between">
      <formula>0</formula>
      <formula>0.5</formula>
    </cfRule>
  </conditionalFormatting>
  <conditionalFormatting sqref="P135">
    <cfRule type="cellIs" dxfId="10429" priority="13293" operator="between">
      <formula>0.76</formula>
      <formula>0.95</formula>
    </cfRule>
    <cfRule type="cellIs" dxfId="10428" priority="13294" operator="between">
      <formula>0.51</formula>
      <formula>0.75</formula>
    </cfRule>
    <cfRule type="cellIs" dxfId="10427" priority="13295" operator="greaterThan">
      <formula>1</formula>
    </cfRule>
    <cfRule type="cellIs" dxfId="10426" priority="13296" operator="between">
      <formula>0.95</formula>
      <formula>1</formula>
    </cfRule>
    <cfRule type="cellIs" dxfId="10425" priority="13297" stopIfTrue="1" operator="between">
      <formula>0</formula>
      <formula>0.5</formula>
    </cfRule>
  </conditionalFormatting>
  <conditionalFormatting sqref="P136">
    <cfRule type="cellIs" dxfId="10424" priority="13288" operator="between">
      <formula>0.76</formula>
      <formula>0.95</formula>
    </cfRule>
    <cfRule type="cellIs" dxfId="10423" priority="13289" operator="between">
      <formula>0.51</formula>
      <formula>0.75</formula>
    </cfRule>
    <cfRule type="cellIs" dxfId="10422" priority="13290" operator="greaterThan">
      <formula>1</formula>
    </cfRule>
    <cfRule type="cellIs" dxfId="10421" priority="13291" operator="between">
      <formula>0.95</formula>
      <formula>1</formula>
    </cfRule>
    <cfRule type="cellIs" dxfId="10420" priority="13292" stopIfTrue="1" operator="between">
      <formula>0</formula>
      <formula>0.5</formula>
    </cfRule>
  </conditionalFormatting>
  <conditionalFormatting sqref="P137">
    <cfRule type="cellIs" dxfId="10419" priority="13283" operator="between">
      <formula>0.76</formula>
      <formula>0.95</formula>
    </cfRule>
    <cfRule type="cellIs" dxfId="10418" priority="13284" operator="between">
      <formula>0.51</formula>
      <formula>0.75</formula>
    </cfRule>
    <cfRule type="cellIs" dxfId="10417" priority="13285" operator="greaterThan">
      <formula>1</formula>
    </cfRule>
    <cfRule type="cellIs" dxfId="10416" priority="13286" operator="between">
      <formula>0.95</formula>
      <formula>1</formula>
    </cfRule>
    <cfRule type="cellIs" dxfId="10415" priority="13287" stopIfTrue="1" operator="between">
      <formula>0</formula>
      <formula>0.5</formula>
    </cfRule>
  </conditionalFormatting>
  <conditionalFormatting sqref="P138">
    <cfRule type="cellIs" dxfId="10414" priority="13278" operator="between">
      <formula>0.76</formula>
      <formula>0.95</formula>
    </cfRule>
    <cfRule type="cellIs" dxfId="10413" priority="13279" operator="between">
      <formula>0.51</formula>
      <formula>0.75</formula>
    </cfRule>
    <cfRule type="cellIs" dxfId="10412" priority="13280" operator="greaterThan">
      <formula>1</formula>
    </cfRule>
    <cfRule type="cellIs" dxfId="10411" priority="13281" operator="between">
      <formula>0.95</formula>
      <formula>1</formula>
    </cfRule>
    <cfRule type="cellIs" dxfId="10410" priority="13282" stopIfTrue="1" operator="between">
      <formula>0</formula>
      <formula>0.5</formula>
    </cfRule>
  </conditionalFormatting>
  <conditionalFormatting sqref="P139">
    <cfRule type="cellIs" dxfId="10409" priority="13273" operator="between">
      <formula>0.76</formula>
      <formula>0.95</formula>
    </cfRule>
    <cfRule type="cellIs" dxfId="10408" priority="13274" operator="between">
      <formula>0.51</formula>
      <formula>0.75</formula>
    </cfRule>
    <cfRule type="cellIs" dxfId="10407" priority="13275" operator="greaterThan">
      <formula>1</formula>
    </cfRule>
    <cfRule type="cellIs" dxfId="10406" priority="13276" operator="between">
      <formula>0.95</formula>
      <formula>1</formula>
    </cfRule>
    <cfRule type="cellIs" dxfId="10405" priority="13277" stopIfTrue="1" operator="between">
      <formula>0</formula>
      <formula>0.5</formula>
    </cfRule>
  </conditionalFormatting>
  <conditionalFormatting sqref="P140">
    <cfRule type="cellIs" dxfId="10404" priority="13268" operator="between">
      <formula>0.76</formula>
      <formula>0.95</formula>
    </cfRule>
    <cfRule type="cellIs" dxfId="10403" priority="13269" operator="between">
      <formula>0.51</formula>
      <formula>0.75</formula>
    </cfRule>
    <cfRule type="cellIs" dxfId="10402" priority="13270" operator="greaterThan">
      <formula>1</formula>
    </cfRule>
    <cfRule type="cellIs" dxfId="10401" priority="13271" operator="between">
      <formula>0.95</formula>
      <formula>1</formula>
    </cfRule>
    <cfRule type="cellIs" dxfId="10400" priority="13272" stopIfTrue="1" operator="between">
      <formula>0</formula>
      <formula>0.5</formula>
    </cfRule>
  </conditionalFormatting>
  <conditionalFormatting sqref="P142">
    <cfRule type="cellIs" dxfId="10399" priority="13263" operator="between">
      <formula>0.76</formula>
      <formula>0.95</formula>
    </cfRule>
    <cfRule type="cellIs" dxfId="10398" priority="13264" operator="between">
      <formula>0.51</formula>
      <formula>0.75</formula>
    </cfRule>
    <cfRule type="cellIs" dxfId="10397" priority="13265" operator="greaterThan">
      <formula>1</formula>
    </cfRule>
    <cfRule type="cellIs" dxfId="10396" priority="13266" operator="between">
      <formula>0.95</formula>
      <formula>1</formula>
    </cfRule>
    <cfRule type="cellIs" dxfId="10395" priority="13267" stopIfTrue="1" operator="between">
      <formula>0</formula>
      <formula>0.5</formula>
    </cfRule>
  </conditionalFormatting>
  <conditionalFormatting sqref="P143">
    <cfRule type="cellIs" dxfId="10394" priority="13258" operator="between">
      <formula>0.76</formula>
      <formula>0.95</formula>
    </cfRule>
    <cfRule type="cellIs" dxfId="10393" priority="13259" operator="between">
      <formula>0.51</formula>
      <formula>0.75</formula>
    </cfRule>
    <cfRule type="cellIs" dxfId="10392" priority="13260" operator="greaterThan">
      <formula>1</formula>
    </cfRule>
    <cfRule type="cellIs" dxfId="10391" priority="13261" operator="between">
      <formula>0.95</formula>
      <formula>1</formula>
    </cfRule>
    <cfRule type="cellIs" dxfId="10390" priority="13262" stopIfTrue="1" operator="between">
      <formula>0</formula>
      <formula>0.5</formula>
    </cfRule>
  </conditionalFormatting>
  <conditionalFormatting sqref="P144">
    <cfRule type="cellIs" dxfId="10389" priority="13253" operator="between">
      <formula>0.76</formula>
      <formula>0.95</formula>
    </cfRule>
    <cfRule type="cellIs" dxfId="10388" priority="13254" operator="between">
      <formula>0.51</formula>
      <formula>0.75</formula>
    </cfRule>
    <cfRule type="cellIs" dxfId="10387" priority="13255" operator="greaterThan">
      <formula>1</formula>
    </cfRule>
    <cfRule type="cellIs" dxfId="10386" priority="13256" operator="between">
      <formula>0.95</formula>
      <formula>1</formula>
    </cfRule>
    <cfRule type="cellIs" dxfId="10385" priority="13257" stopIfTrue="1" operator="between">
      <formula>0</formula>
      <formula>0.5</formula>
    </cfRule>
  </conditionalFormatting>
  <conditionalFormatting sqref="P145">
    <cfRule type="cellIs" dxfId="10384" priority="13248" operator="between">
      <formula>0.76</formula>
      <formula>0.95</formula>
    </cfRule>
    <cfRule type="cellIs" dxfId="10383" priority="13249" operator="between">
      <formula>0.51</formula>
      <formula>0.75</formula>
    </cfRule>
    <cfRule type="cellIs" dxfId="10382" priority="13250" operator="greaterThan">
      <formula>1</formula>
    </cfRule>
    <cfRule type="cellIs" dxfId="10381" priority="13251" operator="between">
      <formula>0.95</formula>
      <formula>1</formula>
    </cfRule>
    <cfRule type="cellIs" dxfId="10380" priority="13252" stopIfTrue="1" operator="between">
      <formula>0</formula>
      <formula>0.5</formula>
    </cfRule>
  </conditionalFormatting>
  <conditionalFormatting sqref="P146">
    <cfRule type="cellIs" dxfId="10379" priority="13243" operator="between">
      <formula>0.76</formula>
      <formula>0.95</formula>
    </cfRule>
    <cfRule type="cellIs" dxfId="10378" priority="13244" operator="between">
      <formula>0.51</formula>
      <formula>0.75</formula>
    </cfRule>
    <cfRule type="cellIs" dxfId="10377" priority="13245" operator="greaterThan">
      <formula>1</formula>
    </cfRule>
    <cfRule type="cellIs" dxfId="10376" priority="13246" operator="between">
      <formula>0.95</formula>
      <formula>1</formula>
    </cfRule>
    <cfRule type="cellIs" dxfId="10375" priority="13247" stopIfTrue="1" operator="between">
      <formula>0</formula>
      <formula>0.5</formula>
    </cfRule>
  </conditionalFormatting>
  <conditionalFormatting sqref="P147">
    <cfRule type="cellIs" dxfId="10374" priority="13238" operator="between">
      <formula>0.76</formula>
      <formula>0.95</formula>
    </cfRule>
    <cfRule type="cellIs" dxfId="10373" priority="13239" operator="between">
      <formula>0.51</formula>
      <formula>0.75</formula>
    </cfRule>
    <cfRule type="cellIs" dxfId="10372" priority="13240" operator="greaterThan">
      <formula>1</formula>
    </cfRule>
    <cfRule type="cellIs" dxfId="10371" priority="13241" operator="between">
      <formula>0.95</formula>
      <formula>1</formula>
    </cfRule>
    <cfRule type="cellIs" dxfId="10370" priority="13242" stopIfTrue="1" operator="between">
      <formula>0</formula>
      <formula>0.5</formula>
    </cfRule>
  </conditionalFormatting>
  <conditionalFormatting sqref="P148">
    <cfRule type="cellIs" dxfId="10369" priority="13233" operator="between">
      <formula>0.76</formula>
      <formula>0.95</formula>
    </cfRule>
    <cfRule type="cellIs" dxfId="10368" priority="13234" operator="between">
      <formula>0.51</formula>
      <formula>0.75</formula>
    </cfRule>
    <cfRule type="cellIs" dxfId="10367" priority="13235" operator="greaterThan">
      <formula>1</formula>
    </cfRule>
    <cfRule type="cellIs" dxfId="10366" priority="13236" operator="between">
      <formula>0.95</formula>
      <formula>1</formula>
    </cfRule>
    <cfRule type="cellIs" dxfId="10365" priority="13237" stopIfTrue="1" operator="between">
      <formula>0</formula>
      <formula>0.5</formula>
    </cfRule>
  </conditionalFormatting>
  <conditionalFormatting sqref="P149">
    <cfRule type="cellIs" dxfId="10364" priority="13228" operator="between">
      <formula>0.76</formula>
      <formula>0.95</formula>
    </cfRule>
    <cfRule type="cellIs" dxfId="10363" priority="13229" operator="between">
      <formula>0.51</formula>
      <formula>0.75</formula>
    </cfRule>
    <cfRule type="cellIs" dxfId="10362" priority="13230" operator="greaterThan">
      <formula>1</formula>
    </cfRule>
    <cfRule type="cellIs" dxfId="10361" priority="13231" operator="between">
      <formula>0.95</formula>
      <formula>1</formula>
    </cfRule>
    <cfRule type="cellIs" dxfId="10360" priority="13232" stopIfTrue="1" operator="between">
      <formula>0</formula>
      <formula>0.5</formula>
    </cfRule>
  </conditionalFormatting>
  <conditionalFormatting sqref="P150">
    <cfRule type="cellIs" dxfId="10359" priority="13218" operator="between">
      <formula>0.76</formula>
      <formula>0.95</formula>
    </cfRule>
    <cfRule type="cellIs" dxfId="10358" priority="13219" operator="between">
      <formula>0.51</formula>
      <formula>0.75</formula>
    </cfRule>
    <cfRule type="cellIs" dxfId="10357" priority="13220" operator="greaterThan">
      <formula>1</formula>
    </cfRule>
    <cfRule type="cellIs" dxfId="10356" priority="13221" operator="between">
      <formula>0.95</formula>
      <formula>1</formula>
    </cfRule>
    <cfRule type="cellIs" dxfId="10355" priority="13222" stopIfTrue="1" operator="between">
      <formula>0</formula>
      <formula>0.5</formula>
    </cfRule>
  </conditionalFormatting>
  <conditionalFormatting sqref="P151">
    <cfRule type="cellIs" dxfId="10354" priority="13213" operator="between">
      <formula>0.76</formula>
      <formula>0.95</formula>
    </cfRule>
    <cfRule type="cellIs" dxfId="10353" priority="13214" operator="between">
      <formula>0.51</formula>
      <formula>0.75</formula>
    </cfRule>
    <cfRule type="cellIs" dxfId="10352" priority="13215" operator="greaterThan">
      <formula>1</formula>
    </cfRule>
    <cfRule type="cellIs" dxfId="10351" priority="13216" operator="between">
      <formula>0.95</formula>
      <formula>1</formula>
    </cfRule>
    <cfRule type="cellIs" dxfId="10350" priority="13217" stopIfTrue="1" operator="between">
      <formula>0</formula>
      <formula>0.5</formula>
    </cfRule>
  </conditionalFormatting>
  <conditionalFormatting sqref="P152">
    <cfRule type="cellIs" dxfId="10349" priority="13208" operator="between">
      <formula>0.76</formula>
      <formula>0.95</formula>
    </cfRule>
    <cfRule type="cellIs" dxfId="10348" priority="13209" operator="between">
      <formula>0.51</formula>
      <formula>0.75</formula>
    </cfRule>
    <cfRule type="cellIs" dxfId="10347" priority="13210" operator="greaterThan">
      <formula>1</formula>
    </cfRule>
    <cfRule type="cellIs" dxfId="10346" priority="13211" operator="between">
      <formula>0.95</formula>
      <formula>1</formula>
    </cfRule>
    <cfRule type="cellIs" dxfId="10345" priority="13212" stopIfTrue="1" operator="between">
      <formula>0</formula>
      <formula>0.5</formula>
    </cfRule>
  </conditionalFormatting>
  <conditionalFormatting sqref="P153">
    <cfRule type="cellIs" dxfId="10344" priority="13203" operator="between">
      <formula>0.76</formula>
      <formula>0.95</formula>
    </cfRule>
    <cfRule type="cellIs" dxfId="10343" priority="13204" operator="between">
      <formula>0.51</formula>
      <formula>0.75</formula>
    </cfRule>
    <cfRule type="cellIs" dxfId="10342" priority="13205" operator="greaterThan">
      <formula>1</formula>
    </cfRule>
    <cfRule type="cellIs" dxfId="10341" priority="13206" operator="between">
      <formula>0.95</formula>
      <formula>1</formula>
    </cfRule>
    <cfRule type="cellIs" dxfId="10340" priority="13207" stopIfTrue="1" operator="between">
      <formula>0</formula>
      <formula>0.5</formula>
    </cfRule>
  </conditionalFormatting>
  <conditionalFormatting sqref="P154">
    <cfRule type="cellIs" dxfId="10339" priority="13198" operator="between">
      <formula>0.76</formula>
      <formula>0.95</formula>
    </cfRule>
    <cfRule type="cellIs" dxfId="10338" priority="13199" operator="between">
      <formula>0.51</formula>
      <formula>0.75</formula>
    </cfRule>
    <cfRule type="cellIs" dxfId="10337" priority="13200" operator="greaterThan">
      <formula>1</formula>
    </cfRule>
    <cfRule type="cellIs" dxfId="10336" priority="13201" operator="between">
      <formula>0.95</formula>
      <formula>1</formula>
    </cfRule>
    <cfRule type="cellIs" dxfId="10335" priority="13202" stopIfTrue="1" operator="between">
      <formula>0</formula>
      <formula>0.5</formula>
    </cfRule>
  </conditionalFormatting>
  <conditionalFormatting sqref="P155">
    <cfRule type="cellIs" dxfId="10334" priority="13193" operator="between">
      <formula>0.76</formula>
      <formula>0.95</formula>
    </cfRule>
    <cfRule type="cellIs" dxfId="10333" priority="13194" operator="between">
      <formula>0.51</formula>
      <formula>0.75</formula>
    </cfRule>
    <cfRule type="cellIs" dxfId="10332" priority="13195" operator="greaterThan">
      <formula>1</formula>
    </cfRule>
    <cfRule type="cellIs" dxfId="10331" priority="13196" operator="between">
      <formula>0.95</formula>
      <formula>1</formula>
    </cfRule>
    <cfRule type="cellIs" dxfId="10330" priority="13197" stopIfTrue="1" operator="between">
      <formula>0</formula>
      <formula>0.5</formula>
    </cfRule>
  </conditionalFormatting>
  <conditionalFormatting sqref="P156">
    <cfRule type="cellIs" dxfId="10329" priority="13188" operator="between">
      <formula>0.76</formula>
      <formula>0.95</formula>
    </cfRule>
    <cfRule type="cellIs" dxfId="10328" priority="13189" operator="between">
      <formula>0.51</formula>
      <formula>0.75</formula>
    </cfRule>
    <cfRule type="cellIs" dxfId="10327" priority="13190" operator="greaterThan">
      <formula>1</formula>
    </cfRule>
    <cfRule type="cellIs" dxfId="10326" priority="13191" operator="between">
      <formula>0.95</formula>
      <formula>1</formula>
    </cfRule>
    <cfRule type="cellIs" dxfId="10325" priority="13192" stopIfTrue="1" operator="between">
      <formula>0</formula>
      <formula>0.5</formula>
    </cfRule>
  </conditionalFormatting>
  <conditionalFormatting sqref="P157">
    <cfRule type="cellIs" dxfId="10324" priority="13183" operator="between">
      <formula>0.76</formula>
      <formula>0.95</formula>
    </cfRule>
    <cfRule type="cellIs" dxfId="10323" priority="13184" operator="between">
      <formula>0.51</formula>
      <formula>0.75</formula>
    </cfRule>
    <cfRule type="cellIs" dxfId="10322" priority="13185" operator="greaterThan">
      <formula>1</formula>
    </cfRule>
    <cfRule type="cellIs" dxfId="10321" priority="13186" operator="between">
      <formula>0.95</formula>
      <formula>1</formula>
    </cfRule>
    <cfRule type="cellIs" dxfId="10320" priority="13187" stopIfTrue="1" operator="between">
      <formula>0</formula>
      <formula>0.5</formula>
    </cfRule>
  </conditionalFormatting>
  <conditionalFormatting sqref="P158">
    <cfRule type="cellIs" dxfId="10319" priority="13178" operator="between">
      <formula>0.76</formula>
      <formula>0.95</formula>
    </cfRule>
    <cfRule type="cellIs" dxfId="10318" priority="13179" operator="between">
      <formula>0.51</formula>
      <formula>0.75</formula>
    </cfRule>
    <cfRule type="cellIs" dxfId="10317" priority="13180" operator="greaterThan">
      <formula>1</formula>
    </cfRule>
    <cfRule type="cellIs" dxfId="10316" priority="13181" operator="between">
      <formula>0.95</formula>
      <formula>1</formula>
    </cfRule>
    <cfRule type="cellIs" dxfId="10315" priority="13182" stopIfTrue="1" operator="between">
      <formula>0</formula>
      <formula>0.5</formula>
    </cfRule>
  </conditionalFormatting>
  <conditionalFormatting sqref="P159">
    <cfRule type="cellIs" dxfId="10314" priority="13173" operator="between">
      <formula>0.76</formula>
      <formula>0.95</formula>
    </cfRule>
    <cfRule type="cellIs" dxfId="10313" priority="13174" operator="between">
      <formula>0.51</formula>
      <formula>0.75</formula>
    </cfRule>
    <cfRule type="cellIs" dxfId="10312" priority="13175" operator="greaterThan">
      <formula>1</formula>
    </cfRule>
    <cfRule type="cellIs" dxfId="10311" priority="13176" operator="between">
      <formula>0.95</formula>
      <formula>1</formula>
    </cfRule>
    <cfRule type="cellIs" dxfId="10310" priority="13177" stopIfTrue="1" operator="between">
      <formula>0</formula>
      <formula>0.5</formula>
    </cfRule>
  </conditionalFormatting>
  <conditionalFormatting sqref="P160">
    <cfRule type="cellIs" dxfId="10309" priority="13168" operator="between">
      <formula>0.76</formula>
      <formula>0.95</formula>
    </cfRule>
    <cfRule type="cellIs" dxfId="10308" priority="13169" operator="between">
      <formula>0.51</formula>
      <formula>0.75</formula>
    </cfRule>
    <cfRule type="cellIs" dxfId="10307" priority="13170" operator="greaterThan">
      <formula>1</formula>
    </cfRule>
    <cfRule type="cellIs" dxfId="10306" priority="13171" operator="between">
      <formula>0.95</formula>
      <formula>1</formula>
    </cfRule>
    <cfRule type="cellIs" dxfId="10305" priority="13172" stopIfTrue="1" operator="between">
      <formula>0</formula>
      <formula>0.5</formula>
    </cfRule>
  </conditionalFormatting>
  <conditionalFormatting sqref="P161">
    <cfRule type="cellIs" dxfId="10304" priority="13163" operator="between">
      <formula>0.76</formula>
      <formula>0.95</formula>
    </cfRule>
    <cfRule type="cellIs" dxfId="10303" priority="13164" operator="between">
      <formula>0.51</formula>
      <formula>0.75</formula>
    </cfRule>
    <cfRule type="cellIs" dxfId="10302" priority="13165" operator="greaterThan">
      <formula>1</formula>
    </cfRule>
    <cfRule type="cellIs" dxfId="10301" priority="13166" operator="between">
      <formula>0.95</formula>
      <formula>1</formula>
    </cfRule>
    <cfRule type="cellIs" dxfId="10300" priority="13167" stopIfTrue="1" operator="between">
      <formula>0</formula>
      <formula>0.5</formula>
    </cfRule>
  </conditionalFormatting>
  <conditionalFormatting sqref="P162">
    <cfRule type="cellIs" dxfId="10299" priority="13158" operator="between">
      <formula>0.76</formula>
      <formula>0.95</formula>
    </cfRule>
    <cfRule type="cellIs" dxfId="10298" priority="13159" operator="between">
      <formula>0.51</formula>
      <formula>0.75</formula>
    </cfRule>
    <cfRule type="cellIs" dxfId="10297" priority="13160" operator="greaterThan">
      <formula>1</formula>
    </cfRule>
    <cfRule type="cellIs" dxfId="10296" priority="13161" operator="between">
      <formula>0.95</formula>
      <formula>1</formula>
    </cfRule>
    <cfRule type="cellIs" dxfId="10295" priority="13162" stopIfTrue="1" operator="between">
      <formula>0</formula>
      <formula>0.5</formula>
    </cfRule>
  </conditionalFormatting>
  <conditionalFormatting sqref="P163">
    <cfRule type="cellIs" dxfId="10294" priority="13153" operator="between">
      <formula>0.76</formula>
      <formula>0.95</formula>
    </cfRule>
    <cfRule type="cellIs" dxfId="10293" priority="13154" operator="between">
      <formula>0.51</formula>
      <formula>0.75</formula>
    </cfRule>
    <cfRule type="cellIs" dxfId="10292" priority="13155" operator="greaterThan">
      <formula>1</formula>
    </cfRule>
    <cfRule type="cellIs" dxfId="10291" priority="13156" operator="between">
      <formula>0.95</formula>
      <formula>1</formula>
    </cfRule>
    <cfRule type="cellIs" dxfId="10290" priority="13157" stopIfTrue="1" operator="between">
      <formula>0</formula>
      <formula>0.5</formula>
    </cfRule>
  </conditionalFormatting>
  <conditionalFormatting sqref="P164">
    <cfRule type="cellIs" dxfId="10289" priority="13148" operator="between">
      <formula>0.76</formula>
      <formula>0.95</formula>
    </cfRule>
    <cfRule type="cellIs" dxfId="10288" priority="13149" operator="between">
      <formula>0.51</formula>
      <formula>0.75</formula>
    </cfRule>
    <cfRule type="cellIs" dxfId="10287" priority="13150" operator="greaterThan">
      <formula>1</formula>
    </cfRule>
    <cfRule type="cellIs" dxfId="10286" priority="13151" operator="between">
      <formula>0.95</formula>
      <formula>1</formula>
    </cfRule>
    <cfRule type="cellIs" dxfId="10285" priority="13152" stopIfTrue="1" operator="between">
      <formula>0</formula>
      <formula>0.5</formula>
    </cfRule>
  </conditionalFormatting>
  <conditionalFormatting sqref="P165">
    <cfRule type="cellIs" dxfId="10284" priority="13143" operator="between">
      <formula>0.76</formula>
      <formula>0.95</formula>
    </cfRule>
    <cfRule type="cellIs" dxfId="10283" priority="13144" operator="between">
      <formula>0.51</formula>
      <formula>0.75</formula>
    </cfRule>
    <cfRule type="cellIs" dxfId="10282" priority="13145" operator="greaterThan">
      <formula>1</formula>
    </cfRule>
    <cfRule type="cellIs" dxfId="10281" priority="13146" operator="between">
      <formula>0.95</formula>
      <formula>1</formula>
    </cfRule>
    <cfRule type="cellIs" dxfId="10280" priority="13147" stopIfTrue="1" operator="between">
      <formula>0</formula>
      <formula>0.5</formula>
    </cfRule>
  </conditionalFormatting>
  <conditionalFormatting sqref="P166">
    <cfRule type="cellIs" dxfId="10279" priority="13138" operator="between">
      <formula>0.76</formula>
      <formula>0.95</formula>
    </cfRule>
    <cfRule type="cellIs" dxfId="10278" priority="13139" operator="between">
      <formula>0.51</formula>
      <formula>0.75</formula>
    </cfRule>
    <cfRule type="cellIs" dxfId="10277" priority="13140" operator="greaterThan">
      <formula>1</formula>
    </cfRule>
    <cfRule type="cellIs" dxfId="10276" priority="13141" operator="between">
      <formula>0.95</formula>
      <formula>1</formula>
    </cfRule>
    <cfRule type="cellIs" dxfId="10275" priority="13142" stopIfTrue="1" operator="between">
      <formula>0</formula>
      <formula>0.5</formula>
    </cfRule>
  </conditionalFormatting>
  <conditionalFormatting sqref="P167">
    <cfRule type="cellIs" dxfId="10274" priority="13133" operator="between">
      <formula>0.76</formula>
      <formula>0.95</formula>
    </cfRule>
    <cfRule type="cellIs" dxfId="10273" priority="13134" operator="between">
      <formula>0.51</formula>
      <formula>0.75</formula>
    </cfRule>
    <cfRule type="cellIs" dxfId="10272" priority="13135" operator="greaterThan">
      <formula>1</formula>
    </cfRule>
    <cfRule type="cellIs" dxfId="10271" priority="13136" operator="between">
      <formula>0.95</formula>
      <formula>1</formula>
    </cfRule>
    <cfRule type="cellIs" dxfId="10270" priority="13137" stopIfTrue="1" operator="between">
      <formula>0</formula>
      <formula>0.5</formula>
    </cfRule>
  </conditionalFormatting>
  <conditionalFormatting sqref="P168">
    <cfRule type="cellIs" dxfId="10269" priority="13128" operator="between">
      <formula>0.76</formula>
      <formula>0.95</formula>
    </cfRule>
    <cfRule type="cellIs" dxfId="10268" priority="13129" operator="between">
      <formula>0.51</formula>
      <formula>0.75</formula>
    </cfRule>
    <cfRule type="cellIs" dxfId="10267" priority="13130" operator="greaterThan">
      <formula>1</formula>
    </cfRule>
    <cfRule type="cellIs" dxfId="10266" priority="13131" operator="between">
      <formula>0.95</formula>
      <formula>1</formula>
    </cfRule>
    <cfRule type="cellIs" dxfId="10265" priority="13132" stopIfTrue="1" operator="between">
      <formula>0</formula>
      <formula>0.5</formula>
    </cfRule>
  </conditionalFormatting>
  <conditionalFormatting sqref="P169">
    <cfRule type="cellIs" dxfId="10264" priority="13123" operator="between">
      <formula>0.76</formula>
      <formula>0.95</formula>
    </cfRule>
    <cfRule type="cellIs" dxfId="10263" priority="13124" operator="between">
      <formula>0.51</formula>
      <formula>0.75</formula>
    </cfRule>
    <cfRule type="cellIs" dxfId="10262" priority="13125" operator="greaterThan">
      <formula>1</formula>
    </cfRule>
    <cfRule type="cellIs" dxfId="10261" priority="13126" operator="between">
      <formula>0.95</formula>
      <formula>1</formula>
    </cfRule>
    <cfRule type="cellIs" dxfId="10260" priority="13127" stopIfTrue="1" operator="between">
      <formula>0</formula>
      <formula>0.5</formula>
    </cfRule>
  </conditionalFormatting>
  <conditionalFormatting sqref="P170">
    <cfRule type="cellIs" dxfId="10259" priority="13118" operator="between">
      <formula>0.76</formula>
      <formula>0.95</formula>
    </cfRule>
    <cfRule type="cellIs" dxfId="10258" priority="13119" operator="between">
      <formula>0.51</formula>
      <formula>0.75</formula>
    </cfRule>
    <cfRule type="cellIs" dxfId="10257" priority="13120" operator="greaterThan">
      <formula>1</formula>
    </cfRule>
    <cfRule type="cellIs" dxfId="10256" priority="13121" operator="between">
      <formula>0.95</formula>
      <formula>1</formula>
    </cfRule>
    <cfRule type="cellIs" dxfId="10255" priority="13122" stopIfTrue="1" operator="between">
      <formula>0</formula>
      <formula>0.5</formula>
    </cfRule>
  </conditionalFormatting>
  <conditionalFormatting sqref="P171">
    <cfRule type="cellIs" dxfId="10254" priority="13113" operator="between">
      <formula>0.76</formula>
      <formula>0.95</formula>
    </cfRule>
    <cfRule type="cellIs" dxfId="10253" priority="13114" operator="between">
      <formula>0.51</formula>
      <formula>0.75</formula>
    </cfRule>
    <cfRule type="cellIs" dxfId="10252" priority="13115" operator="greaterThan">
      <formula>1</formula>
    </cfRule>
    <cfRule type="cellIs" dxfId="10251" priority="13116" operator="between">
      <formula>0.95</formula>
      <formula>1</formula>
    </cfRule>
    <cfRule type="cellIs" dxfId="10250" priority="13117" stopIfTrue="1" operator="between">
      <formula>0</formula>
      <formula>0.5</formula>
    </cfRule>
  </conditionalFormatting>
  <conditionalFormatting sqref="P172">
    <cfRule type="cellIs" dxfId="10249" priority="13108" operator="between">
      <formula>0.76</formula>
      <formula>0.95</formula>
    </cfRule>
    <cfRule type="cellIs" dxfId="10248" priority="13109" operator="between">
      <formula>0.51</formula>
      <formula>0.75</formula>
    </cfRule>
    <cfRule type="cellIs" dxfId="10247" priority="13110" operator="greaterThan">
      <formula>1</formula>
    </cfRule>
    <cfRule type="cellIs" dxfId="10246" priority="13111" operator="between">
      <formula>0.95</formula>
      <formula>1</formula>
    </cfRule>
    <cfRule type="cellIs" dxfId="10245" priority="13112" stopIfTrue="1" operator="between">
      <formula>0</formula>
      <formula>0.5</formula>
    </cfRule>
  </conditionalFormatting>
  <conditionalFormatting sqref="P173">
    <cfRule type="cellIs" dxfId="10244" priority="13103" operator="between">
      <formula>0.76</formula>
      <formula>0.95</formula>
    </cfRule>
    <cfRule type="cellIs" dxfId="10243" priority="13104" operator="between">
      <formula>0.51</formula>
      <formula>0.75</formula>
    </cfRule>
    <cfRule type="cellIs" dxfId="10242" priority="13105" operator="greaterThan">
      <formula>1</formula>
    </cfRule>
    <cfRule type="cellIs" dxfId="10241" priority="13106" operator="between">
      <formula>0.95</formula>
      <formula>1</formula>
    </cfRule>
    <cfRule type="cellIs" dxfId="10240" priority="13107" stopIfTrue="1" operator="between">
      <formula>0</formula>
      <formula>0.5</formula>
    </cfRule>
  </conditionalFormatting>
  <conditionalFormatting sqref="P174">
    <cfRule type="cellIs" dxfId="10239" priority="13098" operator="between">
      <formula>0.76</formula>
      <formula>0.95</formula>
    </cfRule>
    <cfRule type="cellIs" dxfId="10238" priority="13099" operator="between">
      <formula>0.51</formula>
      <formula>0.75</formula>
    </cfRule>
    <cfRule type="cellIs" dxfId="10237" priority="13100" operator="greaterThan">
      <formula>1</formula>
    </cfRule>
    <cfRule type="cellIs" dxfId="10236" priority="13101" operator="between">
      <formula>0.95</formula>
      <formula>1</formula>
    </cfRule>
    <cfRule type="cellIs" dxfId="10235" priority="13102" stopIfTrue="1" operator="between">
      <formula>0</formula>
      <formula>0.5</formula>
    </cfRule>
  </conditionalFormatting>
  <conditionalFormatting sqref="P175">
    <cfRule type="cellIs" dxfId="10234" priority="13093" operator="between">
      <formula>0.76</formula>
      <formula>0.95</formula>
    </cfRule>
    <cfRule type="cellIs" dxfId="10233" priority="13094" operator="between">
      <formula>0.51</formula>
      <formula>0.75</formula>
    </cfRule>
    <cfRule type="cellIs" dxfId="10232" priority="13095" operator="greaterThan">
      <formula>1</formula>
    </cfRule>
    <cfRule type="cellIs" dxfId="10231" priority="13096" operator="between">
      <formula>0.95</formula>
      <formula>1</formula>
    </cfRule>
    <cfRule type="cellIs" dxfId="10230" priority="13097" stopIfTrue="1" operator="between">
      <formula>0</formula>
      <formula>0.5</formula>
    </cfRule>
  </conditionalFormatting>
  <conditionalFormatting sqref="P176">
    <cfRule type="cellIs" dxfId="10229" priority="13088" operator="between">
      <formula>0.76</formula>
      <formula>0.95</formula>
    </cfRule>
    <cfRule type="cellIs" dxfId="10228" priority="13089" operator="between">
      <formula>0.51</formula>
      <formula>0.75</formula>
    </cfRule>
    <cfRule type="cellIs" dxfId="10227" priority="13090" operator="greaterThan">
      <formula>1</formula>
    </cfRule>
    <cfRule type="cellIs" dxfId="10226" priority="13091" operator="between">
      <formula>0.95</formula>
      <formula>1</formula>
    </cfRule>
    <cfRule type="cellIs" dxfId="10225" priority="13092" stopIfTrue="1" operator="between">
      <formula>0</formula>
      <formula>0.5</formula>
    </cfRule>
  </conditionalFormatting>
  <conditionalFormatting sqref="P177">
    <cfRule type="cellIs" dxfId="10224" priority="13083" operator="between">
      <formula>0.76</formula>
      <formula>0.95</formula>
    </cfRule>
    <cfRule type="cellIs" dxfId="10223" priority="13084" operator="between">
      <formula>0.51</formula>
      <formula>0.75</formula>
    </cfRule>
    <cfRule type="cellIs" dxfId="10222" priority="13085" operator="greaterThan">
      <formula>1</formula>
    </cfRule>
    <cfRule type="cellIs" dxfId="10221" priority="13086" operator="between">
      <formula>0.95</formula>
      <formula>1</formula>
    </cfRule>
    <cfRule type="cellIs" dxfId="10220" priority="13087" stopIfTrue="1" operator="between">
      <formula>0</formula>
      <formula>0.5</formula>
    </cfRule>
  </conditionalFormatting>
  <conditionalFormatting sqref="P178">
    <cfRule type="cellIs" dxfId="10219" priority="13078" operator="between">
      <formula>0.76</formula>
      <formula>0.95</formula>
    </cfRule>
    <cfRule type="cellIs" dxfId="10218" priority="13079" operator="between">
      <formula>0.51</formula>
      <formula>0.75</formula>
    </cfRule>
    <cfRule type="cellIs" dxfId="10217" priority="13080" operator="greaterThan">
      <formula>1</formula>
    </cfRule>
    <cfRule type="cellIs" dxfId="10216" priority="13081" operator="between">
      <formula>0.95</formula>
      <formula>1</formula>
    </cfRule>
    <cfRule type="cellIs" dxfId="10215" priority="13082" stopIfTrue="1" operator="between">
      <formula>0</formula>
      <formula>0.5</formula>
    </cfRule>
  </conditionalFormatting>
  <conditionalFormatting sqref="P179">
    <cfRule type="cellIs" dxfId="10214" priority="13073" operator="between">
      <formula>0.76</formula>
      <formula>0.95</formula>
    </cfRule>
    <cfRule type="cellIs" dxfId="10213" priority="13074" operator="between">
      <formula>0.51</formula>
      <formula>0.75</formula>
    </cfRule>
    <cfRule type="cellIs" dxfId="10212" priority="13075" operator="greaterThan">
      <formula>1</formula>
    </cfRule>
    <cfRule type="cellIs" dxfId="10211" priority="13076" operator="between">
      <formula>0.95</formula>
      <formula>1</formula>
    </cfRule>
    <cfRule type="cellIs" dxfId="10210" priority="13077" stopIfTrue="1" operator="between">
      <formula>0</formula>
      <formula>0.5</formula>
    </cfRule>
  </conditionalFormatting>
  <conditionalFormatting sqref="P180">
    <cfRule type="cellIs" dxfId="10209" priority="13068" operator="between">
      <formula>0.76</formula>
      <formula>0.95</formula>
    </cfRule>
    <cfRule type="cellIs" dxfId="10208" priority="13069" operator="between">
      <formula>0.51</formula>
      <formula>0.75</formula>
    </cfRule>
    <cfRule type="cellIs" dxfId="10207" priority="13070" operator="greaterThan">
      <formula>1</formula>
    </cfRule>
    <cfRule type="cellIs" dxfId="10206" priority="13071" operator="between">
      <formula>0.95</formula>
      <formula>1</formula>
    </cfRule>
    <cfRule type="cellIs" dxfId="10205" priority="13072" stopIfTrue="1" operator="between">
      <formula>0</formula>
      <formula>0.5</formula>
    </cfRule>
  </conditionalFormatting>
  <conditionalFormatting sqref="P182">
    <cfRule type="cellIs" dxfId="10204" priority="13063" operator="between">
      <formula>0.76</formula>
      <formula>0.95</formula>
    </cfRule>
    <cfRule type="cellIs" dxfId="10203" priority="13064" operator="between">
      <formula>0.51</formula>
      <formula>0.75</formula>
    </cfRule>
    <cfRule type="cellIs" dxfId="10202" priority="13065" operator="greaterThan">
      <formula>1</formula>
    </cfRule>
    <cfRule type="cellIs" dxfId="10201" priority="13066" operator="between">
      <formula>0.95</formula>
      <formula>1</formula>
    </cfRule>
    <cfRule type="cellIs" dxfId="10200" priority="13067" stopIfTrue="1" operator="between">
      <formula>0</formula>
      <formula>0.5</formula>
    </cfRule>
  </conditionalFormatting>
  <conditionalFormatting sqref="P181">
    <cfRule type="cellIs" dxfId="10199" priority="13058" operator="between">
      <formula>0.76</formula>
      <formula>0.95</formula>
    </cfRule>
    <cfRule type="cellIs" dxfId="10198" priority="13059" operator="between">
      <formula>0.51</formula>
      <formula>0.75</formula>
    </cfRule>
    <cfRule type="cellIs" dxfId="10197" priority="13060" operator="greaterThan">
      <formula>1</formula>
    </cfRule>
    <cfRule type="cellIs" dxfId="10196" priority="13061" operator="between">
      <formula>0.95</formula>
      <formula>1</formula>
    </cfRule>
    <cfRule type="cellIs" dxfId="10195" priority="13062" stopIfTrue="1" operator="between">
      <formula>0</formula>
      <formula>0.5</formula>
    </cfRule>
  </conditionalFormatting>
  <conditionalFormatting sqref="P183">
    <cfRule type="cellIs" dxfId="10194" priority="13053" operator="between">
      <formula>0.76</formula>
      <formula>0.95</formula>
    </cfRule>
    <cfRule type="cellIs" dxfId="10193" priority="13054" operator="between">
      <formula>0.51</formula>
      <formula>0.75</formula>
    </cfRule>
    <cfRule type="cellIs" dxfId="10192" priority="13055" operator="greaterThan">
      <formula>1</formula>
    </cfRule>
    <cfRule type="cellIs" dxfId="10191" priority="13056" operator="between">
      <formula>0.95</formula>
      <formula>1</formula>
    </cfRule>
    <cfRule type="cellIs" dxfId="10190" priority="13057" stopIfTrue="1" operator="between">
      <formula>0</formula>
      <formula>0.5</formula>
    </cfRule>
  </conditionalFormatting>
  <conditionalFormatting sqref="P184">
    <cfRule type="cellIs" dxfId="10189" priority="13048" operator="between">
      <formula>0.76</formula>
      <formula>0.95</formula>
    </cfRule>
    <cfRule type="cellIs" dxfId="10188" priority="13049" operator="between">
      <formula>0.51</formula>
      <formula>0.75</formula>
    </cfRule>
    <cfRule type="cellIs" dxfId="10187" priority="13050" operator="greaterThan">
      <formula>1</formula>
    </cfRule>
    <cfRule type="cellIs" dxfId="10186" priority="13051" operator="between">
      <formula>0.95</formula>
      <formula>1</formula>
    </cfRule>
    <cfRule type="cellIs" dxfId="10185" priority="13052" stopIfTrue="1" operator="between">
      <formula>0</formula>
      <formula>0.5</formula>
    </cfRule>
  </conditionalFormatting>
  <conditionalFormatting sqref="P186">
    <cfRule type="cellIs" dxfId="10184" priority="13043" operator="between">
      <formula>0.76</formula>
      <formula>0.95</formula>
    </cfRule>
    <cfRule type="cellIs" dxfId="10183" priority="13044" operator="between">
      <formula>0.51</formula>
      <formula>0.75</formula>
    </cfRule>
    <cfRule type="cellIs" dxfId="10182" priority="13045" operator="greaterThan">
      <formula>1</formula>
    </cfRule>
    <cfRule type="cellIs" dxfId="10181" priority="13046" operator="between">
      <formula>0.95</formula>
      <formula>1</formula>
    </cfRule>
    <cfRule type="cellIs" dxfId="10180" priority="13047" stopIfTrue="1" operator="between">
      <formula>0</formula>
      <formula>0.5</formula>
    </cfRule>
  </conditionalFormatting>
  <conditionalFormatting sqref="P185">
    <cfRule type="cellIs" dxfId="10179" priority="13038" operator="between">
      <formula>0.76</formula>
      <formula>0.95</formula>
    </cfRule>
    <cfRule type="cellIs" dxfId="10178" priority="13039" operator="between">
      <formula>0.51</formula>
      <formula>0.75</formula>
    </cfRule>
    <cfRule type="cellIs" dxfId="10177" priority="13040" operator="greaterThan">
      <formula>1</formula>
    </cfRule>
    <cfRule type="cellIs" dxfId="10176" priority="13041" operator="between">
      <formula>0.95</formula>
      <formula>1</formula>
    </cfRule>
    <cfRule type="cellIs" dxfId="10175" priority="13042" stopIfTrue="1" operator="between">
      <formula>0</formula>
      <formula>0.5</formula>
    </cfRule>
  </conditionalFormatting>
  <conditionalFormatting sqref="P187">
    <cfRule type="cellIs" dxfId="10174" priority="13033" operator="between">
      <formula>0.76</formula>
      <formula>0.95</formula>
    </cfRule>
    <cfRule type="cellIs" dxfId="10173" priority="13034" operator="between">
      <formula>0.51</formula>
      <formula>0.75</formula>
    </cfRule>
    <cfRule type="cellIs" dxfId="10172" priority="13035" operator="greaterThan">
      <formula>1</formula>
    </cfRule>
    <cfRule type="cellIs" dxfId="10171" priority="13036" operator="between">
      <formula>0.95</formula>
      <formula>1</formula>
    </cfRule>
    <cfRule type="cellIs" dxfId="10170" priority="13037" stopIfTrue="1" operator="between">
      <formula>0</formula>
      <formula>0.5</formula>
    </cfRule>
  </conditionalFormatting>
  <conditionalFormatting sqref="P188">
    <cfRule type="cellIs" dxfId="10169" priority="13028" operator="between">
      <formula>0.76</formula>
      <formula>0.95</formula>
    </cfRule>
    <cfRule type="cellIs" dxfId="10168" priority="13029" operator="between">
      <formula>0.51</formula>
      <formula>0.75</formula>
    </cfRule>
    <cfRule type="cellIs" dxfId="10167" priority="13030" operator="greaterThan">
      <formula>1</formula>
    </cfRule>
    <cfRule type="cellIs" dxfId="10166" priority="13031" operator="between">
      <formula>0.95</formula>
      <formula>1</formula>
    </cfRule>
    <cfRule type="cellIs" dxfId="10165" priority="13032" stopIfTrue="1" operator="between">
      <formula>0</formula>
      <formula>0.5</formula>
    </cfRule>
  </conditionalFormatting>
  <conditionalFormatting sqref="P189">
    <cfRule type="cellIs" dxfId="10164" priority="13023" operator="between">
      <formula>0.76</formula>
      <formula>0.95</formula>
    </cfRule>
    <cfRule type="cellIs" dxfId="10163" priority="13024" operator="between">
      <formula>0.51</formula>
      <formula>0.75</formula>
    </cfRule>
    <cfRule type="cellIs" dxfId="10162" priority="13025" operator="greaterThan">
      <formula>1</formula>
    </cfRule>
    <cfRule type="cellIs" dxfId="10161" priority="13026" operator="between">
      <formula>0.95</formula>
      <formula>1</formula>
    </cfRule>
    <cfRule type="cellIs" dxfId="10160" priority="13027" stopIfTrue="1" operator="between">
      <formula>0</formula>
      <formula>0.5</formula>
    </cfRule>
  </conditionalFormatting>
  <conditionalFormatting sqref="P190">
    <cfRule type="cellIs" dxfId="10159" priority="13018" operator="between">
      <formula>0.76</formula>
      <formula>0.95</formula>
    </cfRule>
    <cfRule type="cellIs" dxfId="10158" priority="13019" operator="between">
      <formula>0.51</formula>
      <formula>0.75</formula>
    </cfRule>
    <cfRule type="cellIs" dxfId="10157" priority="13020" operator="greaterThan">
      <formula>1</formula>
    </cfRule>
    <cfRule type="cellIs" dxfId="10156" priority="13021" operator="between">
      <formula>0.95</formula>
      <formula>1</formula>
    </cfRule>
    <cfRule type="cellIs" dxfId="10155" priority="13022" stopIfTrue="1" operator="between">
      <formula>0</formula>
      <formula>0.5</formula>
    </cfRule>
  </conditionalFormatting>
  <conditionalFormatting sqref="P191">
    <cfRule type="cellIs" dxfId="10154" priority="13013" operator="between">
      <formula>0.76</formula>
      <formula>0.95</formula>
    </cfRule>
    <cfRule type="cellIs" dxfId="10153" priority="13014" operator="between">
      <formula>0.51</formula>
      <formula>0.75</formula>
    </cfRule>
    <cfRule type="cellIs" dxfId="10152" priority="13015" operator="greaterThan">
      <formula>1</formula>
    </cfRule>
    <cfRule type="cellIs" dxfId="10151" priority="13016" operator="between">
      <formula>0.95</formula>
      <formula>1</formula>
    </cfRule>
    <cfRule type="cellIs" dxfId="10150" priority="13017" stopIfTrue="1" operator="between">
      <formula>0</formula>
      <formula>0.5</formula>
    </cfRule>
  </conditionalFormatting>
  <conditionalFormatting sqref="P192">
    <cfRule type="cellIs" dxfId="10149" priority="13008" operator="between">
      <formula>0.76</formula>
      <formula>0.95</formula>
    </cfRule>
    <cfRule type="cellIs" dxfId="10148" priority="13009" operator="between">
      <formula>0.51</formula>
      <formula>0.75</formula>
    </cfRule>
    <cfRule type="cellIs" dxfId="10147" priority="13010" operator="greaterThan">
      <formula>1</formula>
    </cfRule>
    <cfRule type="cellIs" dxfId="10146" priority="13011" operator="between">
      <formula>0.95</formula>
      <formula>1</formula>
    </cfRule>
    <cfRule type="cellIs" dxfId="10145" priority="13012" stopIfTrue="1" operator="between">
      <formula>0</formula>
      <formula>0.5</formula>
    </cfRule>
  </conditionalFormatting>
  <conditionalFormatting sqref="P195">
    <cfRule type="cellIs" dxfId="10144" priority="13003" operator="between">
      <formula>0.76</formula>
      <formula>0.95</formula>
    </cfRule>
    <cfRule type="cellIs" dxfId="10143" priority="13004" operator="between">
      <formula>0.51</formula>
      <formula>0.75</formula>
    </cfRule>
    <cfRule type="cellIs" dxfId="10142" priority="13005" operator="greaterThan">
      <formula>1</formula>
    </cfRule>
    <cfRule type="cellIs" dxfId="10141" priority="13006" operator="between">
      <formula>0.95</formula>
      <formula>1</formula>
    </cfRule>
    <cfRule type="cellIs" dxfId="10140" priority="13007" stopIfTrue="1" operator="between">
      <formula>0</formula>
      <formula>0.5</formula>
    </cfRule>
  </conditionalFormatting>
  <conditionalFormatting sqref="P196">
    <cfRule type="cellIs" dxfId="10139" priority="12998" operator="between">
      <formula>0.76</formula>
      <formula>0.95</formula>
    </cfRule>
    <cfRule type="cellIs" dxfId="10138" priority="12999" operator="between">
      <formula>0.51</formula>
      <formula>0.75</formula>
    </cfRule>
    <cfRule type="cellIs" dxfId="10137" priority="13000" operator="greaterThan">
      <formula>1</formula>
    </cfRule>
    <cfRule type="cellIs" dxfId="10136" priority="13001" operator="between">
      <formula>0.95</formula>
      <formula>1</formula>
    </cfRule>
    <cfRule type="cellIs" dxfId="10135" priority="13002" stopIfTrue="1" operator="between">
      <formula>0</formula>
      <formula>0.5</formula>
    </cfRule>
  </conditionalFormatting>
  <conditionalFormatting sqref="P197">
    <cfRule type="cellIs" dxfId="10134" priority="12993" operator="between">
      <formula>0.76</formula>
      <formula>0.95</formula>
    </cfRule>
    <cfRule type="cellIs" dxfId="10133" priority="12994" operator="between">
      <formula>0.51</formula>
      <formula>0.75</formula>
    </cfRule>
    <cfRule type="cellIs" dxfId="10132" priority="12995" operator="greaterThan">
      <formula>1</formula>
    </cfRule>
    <cfRule type="cellIs" dxfId="10131" priority="12996" operator="between">
      <formula>0.95</formula>
      <formula>1</formula>
    </cfRule>
    <cfRule type="cellIs" dxfId="10130" priority="12997" stopIfTrue="1" operator="between">
      <formula>0</formula>
      <formula>0.5</formula>
    </cfRule>
  </conditionalFormatting>
  <conditionalFormatting sqref="P198">
    <cfRule type="cellIs" dxfId="10129" priority="12988" operator="between">
      <formula>0.76</formula>
      <formula>0.95</formula>
    </cfRule>
    <cfRule type="cellIs" dxfId="10128" priority="12989" operator="between">
      <formula>0.51</formula>
      <formula>0.75</formula>
    </cfRule>
    <cfRule type="cellIs" dxfId="10127" priority="12990" operator="greaterThan">
      <formula>1</formula>
    </cfRule>
    <cfRule type="cellIs" dxfId="10126" priority="12991" operator="between">
      <formula>0.95</formula>
      <formula>1</formula>
    </cfRule>
    <cfRule type="cellIs" dxfId="10125" priority="12992" stopIfTrue="1" operator="between">
      <formula>0</formula>
      <formula>0.5</formula>
    </cfRule>
  </conditionalFormatting>
  <conditionalFormatting sqref="P199">
    <cfRule type="cellIs" dxfId="10124" priority="12983" operator="between">
      <formula>0.76</formula>
      <formula>0.95</formula>
    </cfRule>
    <cfRule type="cellIs" dxfId="10123" priority="12984" operator="between">
      <formula>0.51</formula>
      <formula>0.75</formula>
    </cfRule>
    <cfRule type="cellIs" dxfId="10122" priority="12985" operator="greaterThan">
      <formula>1</formula>
    </cfRule>
    <cfRule type="cellIs" dxfId="10121" priority="12986" operator="between">
      <formula>0.95</formula>
      <formula>1</formula>
    </cfRule>
    <cfRule type="cellIs" dxfId="10120" priority="12987" stopIfTrue="1" operator="between">
      <formula>0</formula>
      <formula>0.5</formula>
    </cfRule>
  </conditionalFormatting>
  <conditionalFormatting sqref="P200">
    <cfRule type="cellIs" dxfId="10119" priority="12978" operator="between">
      <formula>0.76</formula>
      <formula>0.95</formula>
    </cfRule>
    <cfRule type="cellIs" dxfId="10118" priority="12979" operator="between">
      <formula>0.51</formula>
      <formula>0.75</formula>
    </cfRule>
    <cfRule type="cellIs" dxfId="10117" priority="12980" operator="greaterThan">
      <formula>1</formula>
    </cfRule>
    <cfRule type="cellIs" dxfId="10116" priority="12981" operator="between">
      <formula>0.95</formula>
      <formula>1</formula>
    </cfRule>
    <cfRule type="cellIs" dxfId="10115" priority="12982" stopIfTrue="1" operator="between">
      <formula>0</formula>
      <formula>0.5</formula>
    </cfRule>
  </conditionalFormatting>
  <conditionalFormatting sqref="P201">
    <cfRule type="cellIs" dxfId="10114" priority="12973" operator="between">
      <formula>0.76</formula>
      <formula>0.95</formula>
    </cfRule>
    <cfRule type="cellIs" dxfId="10113" priority="12974" operator="between">
      <formula>0.51</formula>
      <formula>0.75</formula>
    </cfRule>
    <cfRule type="cellIs" dxfId="10112" priority="12975" operator="greaterThan">
      <formula>1</formula>
    </cfRule>
    <cfRule type="cellIs" dxfId="10111" priority="12976" operator="between">
      <formula>0.95</formula>
      <formula>1</formula>
    </cfRule>
    <cfRule type="cellIs" dxfId="10110" priority="12977" stopIfTrue="1" operator="between">
      <formula>0</formula>
      <formula>0.5</formula>
    </cfRule>
  </conditionalFormatting>
  <conditionalFormatting sqref="P202">
    <cfRule type="cellIs" dxfId="10109" priority="12963" operator="between">
      <formula>0.76</formula>
      <formula>0.95</formula>
    </cfRule>
    <cfRule type="cellIs" dxfId="10108" priority="12964" operator="between">
      <formula>0.51</formula>
      <formula>0.75</formula>
    </cfRule>
    <cfRule type="cellIs" dxfId="10107" priority="12965" operator="greaterThan">
      <formula>1</formula>
    </cfRule>
    <cfRule type="cellIs" dxfId="10106" priority="12966" operator="between">
      <formula>0.95</formula>
      <formula>1</formula>
    </cfRule>
    <cfRule type="cellIs" dxfId="10105" priority="12967" stopIfTrue="1" operator="between">
      <formula>0</formula>
      <formula>0.5</formula>
    </cfRule>
  </conditionalFormatting>
  <conditionalFormatting sqref="P203">
    <cfRule type="cellIs" dxfId="10104" priority="12958" operator="between">
      <formula>0.76</formula>
      <formula>0.95</formula>
    </cfRule>
    <cfRule type="cellIs" dxfId="10103" priority="12959" operator="between">
      <formula>0.51</formula>
      <formula>0.75</formula>
    </cfRule>
    <cfRule type="cellIs" dxfId="10102" priority="12960" operator="greaterThan">
      <formula>1</formula>
    </cfRule>
    <cfRule type="cellIs" dxfId="10101" priority="12961" operator="between">
      <formula>0.95</formula>
      <formula>1</formula>
    </cfRule>
    <cfRule type="cellIs" dxfId="10100" priority="12962" stopIfTrue="1" operator="between">
      <formula>0</formula>
      <formula>0.5</formula>
    </cfRule>
  </conditionalFormatting>
  <conditionalFormatting sqref="P205">
    <cfRule type="cellIs" dxfId="10099" priority="12953" operator="between">
      <formula>0.76</formula>
      <formula>0.95</formula>
    </cfRule>
    <cfRule type="cellIs" dxfId="10098" priority="12954" operator="between">
      <formula>0.51</formula>
      <formula>0.75</formula>
    </cfRule>
    <cfRule type="cellIs" dxfId="10097" priority="12955" operator="greaterThan">
      <formula>1</formula>
    </cfRule>
    <cfRule type="cellIs" dxfId="10096" priority="12956" operator="between">
      <formula>0.95</formula>
      <formula>1</formula>
    </cfRule>
    <cfRule type="cellIs" dxfId="10095" priority="12957" stopIfTrue="1" operator="between">
      <formula>0</formula>
      <formula>0.5</formula>
    </cfRule>
  </conditionalFormatting>
  <conditionalFormatting sqref="P204">
    <cfRule type="cellIs" dxfId="10094" priority="12948" operator="between">
      <formula>0.76</formula>
      <formula>0.95</formula>
    </cfRule>
    <cfRule type="cellIs" dxfId="10093" priority="12949" operator="between">
      <formula>0.51</formula>
      <formula>0.75</formula>
    </cfRule>
    <cfRule type="cellIs" dxfId="10092" priority="12950" operator="greaterThan">
      <formula>1</formula>
    </cfRule>
    <cfRule type="cellIs" dxfId="10091" priority="12951" operator="between">
      <formula>0.95</formula>
      <formula>1</formula>
    </cfRule>
    <cfRule type="cellIs" dxfId="10090" priority="12952" stopIfTrue="1" operator="between">
      <formula>0</formula>
      <formula>0.5</formula>
    </cfRule>
  </conditionalFormatting>
  <conditionalFormatting sqref="P206">
    <cfRule type="cellIs" dxfId="10089" priority="12943" operator="between">
      <formula>0.76</formula>
      <formula>0.95</formula>
    </cfRule>
    <cfRule type="cellIs" dxfId="10088" priority="12944" operator="between">
      <formula>0.51</formula>
      <formula>0.75</formula>
    </cfRule>
    <cfRule type="cellIs" dxfId="10087" priority="12945" operator="greaterThan">
      <formula>1</formula>
    </cfRule>
    <cfRule type="cellIs" dxfId="10086" priority="12946" operator="between">
      <formula>0.95</formula>
      <formula>1</formula>
    </cfRule>
    <cfRule type="cellIs" dxfId="10085" priority="12947" stopIfTrue="1" operator="between">
      <formula>0</formula>
      <formula>0.5</formula>
    </cfRule>
  </conditionalFormatting>
  <conditionalFormatting sqref="P207">
    <cfRule type="cellIs" dxfId="10084" priority="12938" operator="between">
      <formula>0.76</formula>
      <formula>0.95</formula>
    </cfRule>
    <cfRule type="cellIs" dxfId="10083" priority="12939" operator="between">
      <formula>0.51</formula>
      <formula>0.75</formula>
    </cfRule>
    <cfRule type="cellIs" dxfId="10082" priority="12940" operator="greaterThan">
      <formula>1</formula>
    </cfRule>
    <cfRule type="cellIs" dxfId="10081" priority="12941" operator="between">
      <formula>0.95</formula>
      <formula>1</formula>
    </cfRule>
    <cfRule type="cellIs" dxfId="10080" priority="12942" stopIfTrue="1" operator="between">
      <formula>0</formula>
      <formula>0.5</formula>
    </cfRule>
  </conditionalFormatting>
  <conditionalFormatting sqref="P208">
    <cfRule type="cellIs" dxfId="10079" priority="12933" operator="between">
      <formula>0.76</formula>
      <formula>0.95</formula>
    </cfRule>
    <cfRule type="cellIs" dxfId="10078" priority="12934" operator="between">
      <formula>0.51</formula>
      <formula>0.75</formula>
    </cfRule>
    <cfRule type="cellIs" dxfId="10077" priority="12935" operator="greaterThan">
      <formula>1</formula>
    </cfRule>
    <cfRule type="cellIs" dxfId="10076" priority="12936" operator="between">
      <formula>0.95</formula>
      <formula>1</formula>
    </cfRule>
    <cfRule type="cellIs" dxfId="10075" priority="12937" stopIfTrue="1" operator="between">
      <formula>0</formula>
      <formula>0.5</formula>
    </cfRule>
  </conditionalFormatting>
  <conditionalFormatting sqref="P209">
    <cfRule type="cellIs" dxfId="10074" priority="12928" operator="between">
      <formula>0.76</formula>
      <formula>0.95</formula>
    </cfRule>
    <cfRule type="cellIs" dxfId="10073" priority="12929" operator="between">
      <formula>0.51</formula>
      <formula>0.75</formula>
    </cfRule>
    <cfRule type="cellIs" dxfId="10072" priority="12930" operator="greaterThan">
      <formula>1</formula>
    </cfRule>
    <cfRule type="cellIs" dxfId="10071" priority="12931" operator="between">
      <formula>0.95</formula>
      <formula>1</formula>
    </cfRule>
    <cfRule type="cellIs" dxfId="10070" priority="12932" stopIfTrue="1" operator="between">
      <formula>0</formula>
      <formula>0.5</formula>
    </cfRule>
  </conditionalFormatting>
  <conditionalFormatting sqref="P210">
    <cfRule type="cellIs" dxfId="10069" priority="12923" operator="between">
      <formula>0.76</formula>
      <formula>0.95</formula>
    </cfRule>
    <cfRule type="cellIs" dxfId="10068" priority="12924" operator="between">
      <formula>0.51</formula>
      <formula>0.75</formula>
    </cfRule>
    <cfRule type="cellIs" dxfId="10067" priority="12925" operator="greaterThan">
      <formula>1</formula>
    </cfRule>
    <cfRule type="cellIs" dxfId="10066" priority="12926" operator="between">
      <formula>0.95</formula>
      <formula>1</formula>
    </cfRule>
    <cfRule type="cellIs" dxfId="10065" priority="12927" stopIfTrue="1" operator="between">
      <formula>0</formula>
      <formula>0.5</formula>
    </cfRule>
  </conditionalFormatting>
  <conditionalFormatting sqref="P211">
    <cfRule type="cellIs" dxfId="10064" priority="12918" operator="between">
      <formula>0.76</formula>
      <formula>0.95</formula>
    </cfRule>
    <cfRule type="cellIs" dxfId="10063" priority="12919" operator="between">
      <formula>0.51</formula>
      <formula>0.75</formula>
    </cfRule>
    <cfRule type="cellIs" dxfId="10062" priority="12920" operator="greaterThan">
      <formula>1</formula>
    </cfRule>
    <cfRule type="cellIs" dxfId="10061" priority="12921" operator="between">
      <formula>0.95</formula>
      <formula>1</formula>
    </cfRule>
    <cfRule type="cellIs" dxfId="10060" priority="12922" stopIfTrue="1" operator="between">
      <formula>0</formula>
      <formula>0.5</formula>
    </cfRule>
  </conditionalFormatting>
  <conditionalFormatting sqref="P212">
    <cfRule type="cellIs" dxfId="10059" priority="12913" operator="between">
      <formula>0.76</formula>
      <formula>0.95</formula>
    </cfRule>
    <cfRule type="cellIs" dxfId="10058" priority="12914" operator="between">
      <formula>0.51</formula>
      <formula>0.75</formula>
    </cfRule>
    <cfRule type="cellIs" dxfId="10057" priority="12915" operator="greaterThan">
      <formula>1</formula>
    </cfRule>
    <cfRule type="cellIs" dxfId="10056" priority="12916" operator="between">
      <formula>0.95</formula>
      <formula>1</formula>
    </cfRule>
    <cfRule type="cellIs" dxfId="10055" priority="12917" stopIfTrue="1" operator="between">
      <formula>0</formula>
      <formula>0.5</formula>
    </cfRule>
  </conditionalFormatting>
  <conditionalFormatting sqref="P213">
    <cfRule type="cellIs" dxfId="10054" priority="12908" operator="between">
      <formula>0.76</formula>
      <formula>0.95</formula>
    </cfRule>
    <cfRule type="cellIs" dxfId="10053" priority="12909" operator="between">
      <formula>0.51</formula>
      <formula>0.75</formula>
    </cfRule>
    <cfRule type="cellIs" dxfId="10052" priority="12910" operator="greaterThan">
      <formula>1</formula>
    </cfRule>
    <cfRule type="cellIs" dxfId="10051" priority="12911" operator="between">
      <formula>0.95</formula>
      <formula>1</formula>
    </cfRule>
    <cfRule type="cellIs" dxfId="10050" priority="12912" stopIfTrue="1" operator="between">
      <formula>0</formula>
      <formula>0.5</formula>
    </cfRule>
  </conditionalFormatting>
  <conditionalFormatting sqref="P215">
    <cfRule type="cellIs" dxfId="10049" priority="12903" operator="between">
      <formula>0.76</formula>
      <formula>0.95</formula>
    </cfRule>
    <cfRule type="cellIs" dxfId="10048" priority="12904" operator="between">
      <formula>0.51</formula>
      <formula>0.75</formula>
    </cfRule>
    <cfRule type="cellIs" dxfId="10047" priority="12905" operator="greaterThan">
      <formula>1</formula>
    </cfRule>
    <cfRule type="cellIs" dxfId="10046" priority="12906" operator="between">
      <formula>0.95</formula>
      <formula>1</formula>
    </cfRule>
    <cfRule type="cellIs" dxfId="10045" priority="12907" stopIfTrue="1" operator="between">
      <formula>0</formula>
      <formula>0.5</formula>
    </cfRule>
  </conditionalFormatting>
  <conditionalFormatting sqref="P216">
    <cfRule type="cellIs" dxfId="10044" priority="12898" operator="between">
      <formula>0.76</formula>
      <formula>0.95</formula>
    </cfRule>
    <cfRule type="cellIs" dxfId="10043" priority="12899" operator="between">
      <formula>0.51</formula>
      <formula>0.75</formula>
    </cfRule>
    <cfRule type="cellIs" dxfId="10042" priority="12900" operator="greaterThan">
      <formula>1</formula>
    </cfRule>
    <cfRule type="cellIs" dxfId="10041" priority="12901" operator="between">
      <formula>0.95</formula>
      <formula>1</formula>
    </cfRule>
    <cfRule type="cellIs" dxfId="10040" priority="12902" stopIfTrue="1" operator="between">
      <formula>0</formula>
      <formula>0.5</formula>
    </cfRule>
  </conditionalFormatting>
  <conditionalFormatting sqref="P217">
    <cfRule type="cellIs" dxfId="10039" priority="12893" operator="between">
      <formula>0.76</formula>
      <formula>0.95</formula>
    </cfRule>
    <cfRule type="cellIs" dxfId="10038" priority="12894" operator="between">
      <formula>0.51</formula>
      <formula>0.75</formula>
    </cfRule>
    <cfRule type="cellIs" dxfId="10037" priority="12895" operator="greaterThan">
      <formula>1</formula>
    </cfRule>
    <cfRule type="cellIs" dxfId="10036" priority="12896" operator="between">
      <formula>0.95</formula>
      <formula>1</formula>
    </cfRule>
    <cfRule type="cellIs" dxfId="10035" priority="12897" stopIfTrue="1" operator="between">
      <formula>0</formula>
      <formula>0.5</formula>
    </cfRule>
  </conditionalFormatting>
  <conditionalFormatting sqref="P218">
    <cfRule type="cellIs" dxfId="10034" priority="12888" operator="between">
      <formula>0.76</formula>
      <formula>0.95</formula>
    </cfRule>
    <cfRule type="cellIs" dxfId="10033" priority="12889" operator="between">
      <formula>0.51</formula>
      <formula>0.75</formula>
    </cfRule>
    <cfRule type="cellIs" dxfId="10032" priority="12890" operator="greaterThan">
      <formula>1</formula>
    </cfRule>
    <cfRule type="cellIs" dxfId="10031" priority="12891" operator="between">
      <formula>0.95</formula>
      <formula>1</formula>
    </cfRule>
    <cfRule type="cellIs" dxfId="10030" priority="12892" stopIfTrue="1" operator="between">
      <formula>0</formula>
      <formula>0.5</formula>
    </cfRule>
  </conditionalFormatting>
  <conditionalFormatting sqref="P219">
    <cfRule type="cellIs" dxfId="10029" priority="12883" operator="between">
      <formula>0.76</formula>
      <formula>0.95</formula>
    </cfRule>
    <cfRule type="cellIs" dxfId="10028" priority="12884" operator="between">
      <formula>0.51</formula>
      <formula>0.75</formula>
    </cfRule>
    <cfRule type="cellIs" dxfId="10027" priority="12885" operator="greaterThan">
      <formula>1</formula>
    </cfRule>
    <cfRule type="cellIs" dxfId="10026" priority="12886" operator="between">
      <formula>0.95</formula>
      <formula>1</formula>
    </cfRule>
    <cfRule type="cellIs" dxfId="10025" priority="12887" stopIfTrue="1" operator="between">
      <formula>0</formula>
      <formula>0.5</formula>
    </cfRule>
  </conditionalFormatting>
  <conditionalFormatting sqref="P220">
    <cfRule type="cellIs" dxfId="10024" priority="12878" operator="between">
      <formula>0.76</formula>
      <formula>0.95</formula>
    </cfRule>
    <cfRule type="cellIs" dxfId="10023" priority="12879" operator="between">
      <formula>0.51</formula>
      <formula>0.75</formula>
    </cfRule>
    <cfRule type="cellIs" dxfId="10022" priority="12880" operator="greaterThan">
      <formula>1</formula>
    </cfRule>
    <cfRule type="cellIs" dxfId="10021" priority="12881" operator="between">
      <formula>0.95</formula>
      <formula>1</formula>
    </cfRule>
    <cfRule type="cellIs" dxfId="10020" priority="12882" stopIfTrue="1" operator="between">
      <formula>0</formula>
      <formula>0.5</formula>
    </cfRule>
  </conditionalFormatting>
  <conditionalFormatting sqref="P221">
    <cfRule type="cellIs" dxfId="10019" priority="12873" operator="between">
      <formula>0.76</formula>
      <formula>0.95</formula>
    </cfRule>
    <cfRule type="cellIs" dxfId="10018" priority="12874" operator="between">
      <formula>0.51</formula>
      <formula>0.75</formula>
    </cfRule>
    <cfRule type="cellIs" dxfId="10017" priority="12875" operator="greaterThan">
      <formula>1</formula>
    </cfRule>
    <cfRule type="cellIs" dxfId="10016" priority="12876" operator="between">
      <formula>0.95</formula>
      <formula>1</formula>
    </cfRule>
    <cfRule type="cellIs" dxfId="10015" priority="12877" stopIfTrue="1" operator="between">
      <formula>0</formula>
      <formula>0.5</formula>
    </cfRule>
  </conditionalFormatting>
  <conditionalFormatting sqref="P222">
    <cfRule type="cellIs" dxfId="10014" priority="12868" operator="between">
      <formula>0.76</formula>
      <formula>0.95</formula>
    </cfRule>
    <cfRule type="cellIs" dxfId="10013" priority="12869" operator="between">
      <formula>0.51</formula>
      <formula>0.75</formula>
    </cfRule>
    <cfRule type="cellIs" dxfId="10012" priority="12870" operator="greaterThan">
      <formula>1</formula>
    </cfRule>
    <cfRule type="cellIs" dxfId="10011" priority="12871" operator="between">
      <formula>0.95</formula>
      <formula>1</formula>
    </cfRule>
    <cfRule type="cellIs" dxfId="10010" priority="12872" stopIfTrue="1" operator="between">
      <formula>0</formula>
      <formula>0.5</formula>
    </cfRule>
  </conditionalFormatting>
  <conditionalFormatting sqref="P223">
    <cfRule type="cellIs" dxfId="10009" priority="12863" operator="between">
      <formula>0.76</formula>
      <formula>0.95</formula>
    </cfRule>
    <cfRule type="cellIs" dxfId="10008" priority="12864" operator="between">
      <formula>0.51</formula>
      <formula>0.75</formula>
    </cfRule>
    <cfRule type="cellIs" dxfId="10007" priority="12865" operator="greaterThan">
      <formula>1</formula>
    </cfRule>
    <cfRule type="cellIs" dxfId="10006" priority="12866" operator="between">
      <formula>0.95</formula>
      <formula>1</formula>
    </cfRule>
    <cfRule type="cellIs" dxfId="10005" priority="12867" stopIfTrue="1" operator="between">
      <formula>0</formula>
      <formula>0.5</formula>
    </cfRule>
  </conditionalFormatting>
  <conditionalFormatting sqref="P224">
    <cfRule type="cellIs" dxfId="10004" priority="12858" operator="between">
      <formula>0.76</formula>
      <formula>0.95</formula>
    </cfRule>
    <cfRule type="cellIs" dxfId="10003" priority="12859" operator="between">
      <formula>0.51</formula>
      <formula>0.75</formula>
    </cfRule>
    <cfRule type="cellIs" dxfId="10002" priority="12860" operator="greaterThan">
      <formula>1</formula>
    </cfRule>
    <cfRule type="cellIs" dxfId="10001" priority="12861" operator="between">
      <formula>0.95</formula>
      <formula>1</formula>
    </cfRule>
    <cfRule type="cellIs" dxfId="10000" priority="12862" stopIfTrue="1" operator="between">
      <formula>0</formula>
      <formula>0.5</formula>
    </cfRule>
  </conditionalFormatting>
  <conditionalFormatting sqref="P225">
    <cfRule type="cellIs" dxfId="9999" priority="12853" operator="between">
      <formula>0.76</formula>
      <formula>0.95</formula>
    </cfRule>
    <cfRule type="cellIs" dxfId="9998" priority="12854" operator="between">
      <formula>0.51</formula>
      <formula>0.75</formula>
    </cfRule>
    <cfRule type="cellIs" dxfId="9997" priority="12855" operator="greaterThan">
      <formula>1</formula>
    </cfRule>
    <cfRule type="cellIs" dxfId="9996" priority="12856" operator="between">
      <formula>0.95</formula>
      <formula>1</formula>
    </cfRule>
    <cfRule type="cellIs" dxfId="9995" priority="12857" stopIfTrue="1" operator="between">
      <formula>0</formula>
      <formula>0.5</formula>
    </cfRule>
  </conditionalFormatting>
  <conditionalFormatting sqref="W15">
    <cfRule type="cellIs" dxfId="9994" priority="12848" operator="between">
      <formula>0.76</formula>
      <formula>0.95</formula>
    </cfRule>
    <cfRule type="cellIs" dxfId="9993" priority="12849" operator="between">
      <formula>0.51</formula>
      <formula>0.75</formula>
    </cfRule>
    <cfRule type="cellIs" dxfId="9992" priority="12850" operator="greaterThan">
      <formula>1</formula>
    </cfRule>
    <cfRule type="cellIs" dxfId="9991" priority="12851" operator="between">
      <formula>0.95</formula>
      <formula>1</formula>
    </cfRule>
    <cfRule type="cellIs" dxfId="9990" priority="12852" stopIfTrue="1" operator="between">
      <formula>0</formula>
      <formula>0.5</formula>
    </cfRule>
  </conditionalFormatting>
  <conditionalFormatting sqref="W16">
    <cfRule type="cellIs" dxfId="9989" priority="12843" operator="between">
      <formula>0.76</formula>
      <formula>0.95</formula>
    </cfRule>
    <cfRule type="cellIs" dxfId="9988" priority="12844" operator="between">
      <formula>0.51</formula>
      <formula>0.75</formula>
    </cfRule>
    <cfRule type="cellIs" dxfId="9987" priority="12845" operator="greaterThan">
      <formula>1</formula>
    </cfRule>
    <cfRule type="cellIs" dxfId="9986" priority="12846" operator="between">
      <formula>0.95</formula>
      <formula>1</formula>
    </cfRule>
    <cfRule type="cellIs" dxfId="9985" priority="12847" stopIfTrue="1" operator="between">
      <formula>0</formula>
      <formula>0.5</formula>
    </cfRule>
  </conditionalFormatting>
  <conditionalFormatting sqref="W17">
    <cfRule type="cellIs" dxfId="9984" priority="12838" operator="between">
      <formula>0.76</formula>
      <formula>0.95</formula>
    </cfRule>
    <cfRule type="cellIs" dxfId="9983" priority="12839" operator="between">
      <formula>0.51</formula>
      <formula>0.75</formula>
    </cfRule>
    <cfRule type="cellIs" dxfId="9982" priority="12840" operator="greaterThan">
      <formula>1</formula>
    </cfRule>
    <cfRule type="cellIs" dxfId="9981" priority="12841" operator="between">
      <formula>0.95</formula>
      <formula>1</formula>
    </cfRule>
    <cfRule type="cellIs" dxfId="9980" priority="12842" stopIfTrue="1" operator="between">
      <formula>0</formula>
      <formula>0.5</formula>
    </cfRule>
  </conditionalFormatting>
  <conditionalFormatting sqref="W18">
    <cfRule type="cellIs" dxfId="9979" priority="12818" operator="between">
      <formula>0.76</formula>
      <formula>0.95</formula>
    </cfRule>
    <cfRule type="cellIs" dxfId="9978" priority="12819" operator="between">
      <formula>0.51</formula>
      <formula>0.75</formula>
    </cfRule>
    <cfRule type="cellIs" dxfId="9977" priority="12820" operator="greaterThan">
      <formula>1</formula>
    </cfRule>
    <cfRule type="cellIs" dxfId="9976" priority="12821" operator="between">
      <formula>0.95</formula>
      <formula>1</formula>
    </cfRule>
    <cfRule type="cellIs" dxfId="9975" priority="12822" stopIfTrue="1" operator="between">
      <formula>0</formula>
      <formula>0.5</formula>
    </cfRule>
  </conditionalFormatting>
  <conditionalFormatting sqref="W19">
    <cfRule type="cellIs" dxfId="9974" priority="12813" operator="between">
      <formula>0.76</formula>
      <formula>0.95</formula>
    </cfRule>
    <cfRule type="cellIs" dxfId="9973" priority="12814" operator="between">
      <formula>0.51</formula>
      <formula>0.75</formula>
    </cfRule>
    <cfRule type="cellIs" dxfId="9972" priority="12815" operator="greaterThan">
      <formula>1</formula>
    </cfRule>
    <cfRule type="cellIs" dxfId="9971" priority="12816" operator="between">
      <formula>0.95</formula>
      <formula>1</formula>
    </cfRule>
    <cfRule type="cellIs" dxfId="9970" priority="12817" stopIfTrue="1" operator="between">
      <formula>0</formula>
      <formula>0.5</formula>
    </cfRule>
  </conditionalFormatting>
  <conditionalFormatting sqref="W20">
    <cfRule type="cellIs" dxfId="9969" priority="12808" operator="between">
      <formula>0.76</formula>
      <formula>0.95</formula>
    </cfRule>
    <cfRule type="cellIs" dxfId="9968" priority="12809" operator="between">
      <formula>0.51</formula>
      <formula>0.75</formula>
    </cfRule>
    <cfRule type="cellIs" dxfId="9967" priority="12810" operator="greaterThan">
      <formula>1</formula>
    </cfRule>
    <cfRule type="cellIs" dxfId="9966" priority="12811" operator="between">
      <formula>0.95</formula>
      <formula>1</formula>
    </cfRule>
    <cfRule type="cellIs" dxfId="9965" priority="12812" stopIfTrue="1" operator="between">
      <formula>0</formula>
      <formula>0.5</formula>
    </cfRule>
  </conditionalFormatting>
  <conditionalFormatting sqref="W21">
    <cfRule type="cellIs" dxfId="9964" priority="12803" operator="between">
      <formula>0.76</formula>
      <formula>0.95</formula>
    </cfRule>
    <cfRule type="cellIs" dxfId="9963" priority="12804" operator="between">
      <formula>0.51</formula>
      <formula>0.75</formula>
    </cfRule>
    <cfRule type="cellIs" dxfId="9962" priority="12805" operator="greaterThan">
      <formula>1</formula>
    </cfRule>
    <cfRule type="cellIs" dxfId="9961" priority="12806" operator="between">
      <formula>0.95</formula>
      <formula>1</formula>
    </cfRule>
    <cfRule type="cellIs" dxfId="9960" priority="12807" stopIfTrue="1" operator="between">
      <formula>0</formula>
      <formula>0.5</formula>
    </cfRule>
  </conditionalFormatting>
  <conditionalFormatting sqref="W22">
    <cfRule type="cellIs" dxfId="9959" priority="12798" operator="between">
      <formula>0.76</formula>
      <formula>0.95</formula>
    </cfRule>
    <cfRule type="cellIs" dxfId="9958" priority="12799" operator="between">
      <formula>0.51</formula>
      <formula>0.75</formula>
    </cfRule>
    <cfRule type="cellIs" dxfId="9957" priority="12800" operator="greaterThan">
      <formula>1</formula>
    </cfRule>
    <cfRule type="cellIs" dxfId="9956" priority="12801" operator="between">
      <formula>0.95</formula>
      <formula>1</formula>
    </cfRule>
    <cfRule type="cellIs" dxfId="9955" priority="12802" stopIfTrue="1" operator="between">
      <formula>0</formula>
      <formula>0.5</formula>
    </cfRule>
  </conditionalFormatting>
  <conditionalFormatting sqref="W23">
    <cfRule type="cellIs" dxfId="9954" priority="12793" operator="between">
      <formula>0.76</formula>
      <formula>0.95</formula>
    </cfRule>
    <cfRule type="cellIs" dxfId="9953" priority="12794" operator="between">
      <formula>0.51</formula>
      <formula>0.75</formula>
    </cfRule>
    <cfRule type="cellIs" dxfId="9952" priority="12795" operator="greaterThan">
      <formula>1</formula>
    </cfRule>
    <cfRule type="cellIs" dxfId="9951" priority="12796" operator="between">
      <formula>0.95</formula>
      <formula>1</formula>
    </cfRule>
    <cfRule type="cellIs" dxfId="9950" priority="12797" stopIfTrue="1" operator="between">
      <formula>0</formula>
      <formula>0.5</formula>
    </cfRule>
  </conditionalFormatting>
  <conditionalFormatting sqref="W25">
    <cfRule type="cellIs" dxfId="9949" priority="12788" operator="between">
      <formula>0.76</formula>
      <formula>0.95</formula>
    </cfRule>
    <cfRule type="cellIs" dxfId="9948" priority="12789" operator="between">
      <formula>0.51</formula>
      <formula>0.75</formula>
    </cfRule>
    <cfRule type="cellIs" dxfId="9947" priority="12790" operator="greaterThan">
      <formula>1</formula>
    </cfRule>
    <cfRule type="cellIs" dxfId="9946" priority="12791" operator="between">
      <formula>0.95</formula>
      <formula>1</formula>
    </cfRule>
    <cfRule type="cellIs" dxfId="9945" priority="12792" stopIfTrue="1" operator="between">
      <formula>0</formula>
      <formula>0.5</formula>
    </cfRule>
  </conditionalFormatting>
  <conditionalFormatting sqref="W26">
    <cfRule type="cellIs" dxfId="9944" priority="12783" operator="between">
      <formula>0.76</formula>
      <formula>0.95</formula>
    </cfRule>
    <cfRule type="cellIs" dxfId="9943" priority="12784" operator="between">
      <formula>0.51</formula>
      <formula>0.75</formula>
    </cfRule>
    <cfRule type="cellIs" dxfId="9942" priority="12785" operator="greaterThan">
      <formula>1</formula>
    </cfRule>
    <cfRule type="cellIs" dxfId="9941" priority="12786" operator="between">
      <formula>0.95</formula>
      <formula>1</formula>
    </cfRule>
    <cfRule type="cellIs" dxfId="9940" priority="12787" stopIfTrue="1" operator="between">
      <formula>0</formula>
      <formula>0.5</formula>
    </cfRule>
  </conditionalFormatting>
  <conditionalFormatting sqref="W27">
    <cfRule type="cellIs" dxfId="9939" priority="12778" operator="between">
      <formula>0.76</formula>
      <formula>0.95</formula>
    </cfRule>
    <cfRule type="cellIs" dxfId="9938" priority="12779" operator="between">
      <formula>0.51</formula>
      <formula>0.75</formula>
    </cfRule>
    <cfRule type="cellIs" dxfId="9937" priority="12780" operator="greaterThan">
      <formula>1</formula>
    </cfRule>
    <cfRule type="cellIs" dxfId="9936" priority="12781" operator="between">
      <formula>0.95</formula>
      <formula>1</formula>
    </cfRule>
    <cfRule type="cellIs" dxfId="9935" priority="12782" stopIfTrue="1" operator="between">
      <formula>0</formula>
      <formula>0.5</formula>
    </cfRule>
  </conditionalFormatting>
  <conditionalFormatting sqref="W28">
    <cfRule type="cellIs" dxfId="9934" priority="12773" operator="between">
      <formula>0.76</formula>
      <formula>0.95</formula>
    </cfRule>
    <cfRule type="cellIs" dxfId="9933" priority="12774" operator="between">
      <formula>0.51</formula>
      <formula>0.75</formula>
    </cfRule>
    <cfRule type="cellIs" dxfId="9932" priority="12775" operator="greaterThan">
      <formula>1</formula>
    </cfRule>
    <cfRule type="cellIs" dxfId="9931" priority="12776" operator="between">
      <formula>0.95</formula>
      <formula>1</formula>
    </cfRule>
    <cfRule type="cellIs" dxfId="9930" priority="12777" stopIfTrue="1" operator="between">
      <formula>0</formula>
      <formula>0.5</formula>
    </cfRule>
  </conditionalFormatting>
  <conditionalFormatting sqref="W29">
    <cfRule type="cellIs" dxfId="9929" priority="12768" operator="between">
      <formula>0.76</formula>
      <formula>0.95</formula>
    </cfRule>
    <cfRule type="cellIs" dxfId="9928" priority="12769" operator="between">
      <formula>0.51</formula>
      <formula>0.75</formula>
    </cfRule>
    <cfRule type="cellIs" dxfId="9927" priority="12770" operator="greaterThan">
      <formula>1</formula>
    </cfRule>
    <cfRule type="cellIs" dxfId="9926" priority="12771" operator="between">
      <formula>0.95</formula>
      <formula>1</formula>
    </cfRule>
    <cfRule type="cellIs" dxfId="9925" priority="12772" stopIfTrue="1" operator="between">
      <formula>0</formula>
      <formula>0.5</formula>
    </cfRule>
  </conditionalFormatting>
  <conditionalFormatting sqref="W31">
    <cfRule type="cellIs" dxfId="9924" priority="12763" operator="between">
      <formula>0.76</formula>
      <formula>0.95</formula>
    </cfRule>
    <cfRule type="cellIs" dxfId="9923" priority="12764" operator="between">
      <formula>0.51</formula>
      <formula>0.75</formula>
    </cfRule>
    <cfRule type="cellIs" dxfId="9922" priority="12765" operator="greaterThan">
      <formula>1</formula>
    </cfRule>
    <cfRule type="cellIs" dxfId="9921" priority="12766" operator="between">
      <formula>0.95</formula>
      <formula>1</formula>
    </cfRule>
    <cfRule type="cellIs" dxfId="9920" priority="12767" stopIfTrue="1" operator="between">
      <formula>0</formula>
      <formula>0.5</formula>
    </cfRule>
  </conditionalFormatting>
  <conditionalFormatting sqref="W30">
    <cfRule type="cellIs" dxfId="9919" priority="12758" operator="between">
      <formula>0.76</formula>
      <formula>0.95</formula>
    </cfRule>
    <cfRule type="cellIs" dxfId="9918" priority="12759" operator="between">
      <formula>0.51</formula>
      <formula>0.75</formula>
    </cfRule>
    <cfRule type="cellIs" dxfId="9917" priority="12760" operator="greaterThan">
      <formula>1</formula>
    </cfRule>
    <cfRule type="cellIs" dxfId="9916" priority="12761" operator="between">
      <formula>0.95</formula>
      <formula>1</formula>
    </cfRule>
    <cfRule type="cellIs" dxfId="9915" priority="12762" stopIfTrue="1" operator="between">
      <formula>0</formula>
      <formula>0.5</formula>
    </cfRule>
  </conditionalFormatting>
  <conditionalFormatting sqref="W35">
    <cfRule type="cellIs" dxfId="9914" priority="12753" operator="between">
      <formula>0.76</formula>
      <formula>0.95</formula>
    </cfRule>
    <cfRule type="cellIs" dxfId="9913" priority="12754" operator="between">
      <formula>0.51</formula>
      <formula>0.75</formula>
    </cfRule>
    <cfRule type="cellIs" dxfId="9912" priority="12755" operator="greaterThan">
      <formula>1</formula>
    </cfRule>
    <cfRule type="cellIs" dxfId="9911" priority="12756" operator="between">
      <formula>0.95</formula>
      <formula>1</formula>
    </cfRule>
    <cfRule type="cellIs" dxfId="9910" priority="12757" stopIfTrue="1" operator="between">
      <formula>0</formula>
      <formula>0.5</formula>
    </cfRule>
  </conditionalFormatting>
  <conditionalFormatting sqref="W36">
    <cfRule type="cellIs" dxfId="9909" priority="12743" operator="between">
      <formula>0.76</formula>
      <formula>0.95</formula>
    </cfRule>
    <cfRule type="cellIs" dxfId="9908" priority="12744" operator="between">
      <formula>0.51</formula>
      <formula>0.75</formula>
    </cfRule>
    <cfRule type="cellIs" dxfId="9907" priority="12745" operator="greaterThan">
      <formula>1</formula>
    </cfRule>
    <cfRule type="cellIs" dxfId="9906" priority="12746" operator="between">
      <formula>0.95</formula>
      <formula>1</formula>
    </cfRule>
    <cfRule type="cellIs" dxfId="9905" priority="12747" stopIfTrue="1" operator="between">
      <formula>0</formula>
      <formula>0.5</formula>
    </cfRule>
  </conditionalFormatting>
  <conditionalFormatting sqref="W37">
    <cfRule type="cellIs" dxfId="9904" priority="12738" operator="between">
      <formula>0.76</formula>
      <formula>0.95</formula>
    </cfRule>
    <cfRule type="cellIs" dxfId="9903" priority="12739" operator="between">
      <formula>0.51</formula>
      <formula>0.75</formula>
    </cfRule>
    <cfRule type="cellIs" dxfId="9902" priority="12740" operator="greaterThan">
      <formula>1</formula>
    </cfRule>
    <cfRule type="cellIs" dxfId="9901" priority="12741" operator="between">
      <formula>0.95</formula>
      <formula>1</formula>
    </cfRule>
    <cfRule type="cellIs" dxfId="9900" priority="12742" stopIfTrue="1" operator="between">
      <formula>0</formula>
      <formula>0.5</formula>
    </cfRule>
  </conditionalFormatting>
  <conditionalFormatting sqref="W38">
    <cfRule type="cellIs" dxfId="9899" priority="12733" operator="between">
      <formula>0.76</formula>
      <formula>0.95</formula>
    </cfRule>
    <cfRule type="cellIs" dxfId="9898" priority="12734" operator="between">
      <formula>0.51</formula>
      <formula>0.75</formula>
    </cfRule>
    <cfRule type="cellIs" dxfId="9897" priority="12735" operator="greaterThan">
      <formula>1</formula>
    </cfRule>
    <cfRule type="cellIs" dxfId="9896" priority="12736" operator="between">
      <formula>0.95</formula>
      <formula>1</formula>
    </cfRule>
    <cfRule type="cellIs" dxfId="9895" priority="12737" stopIfTrue="1" operator="between">
      <formula>0</formula>
      <formula>0.5</formula>
    </cfRule>
  </conditionalFormatting>
  <conditionalFormatting sqref="W39">
    <cfRule type="cellIs" dxfId="9894" priority="12728" operator="between">
      <formula>0.76</formula>
      <formula>0.95</formula>
    </cfRule>
    <cfRule type="cellIs" dxfId="9893" priority="12729" operator="between">
      <formula>0.51</formula>
      <formula>0.75</formula>
    </cfRule>
    <cfRule type="cellIs" dxfId="9892" priority="12730" operator="greaterThan">
      <formula>1</formula>
    </cfRule>
    <cfRule type="cellIs" dxfId="9891" priority="12731" operator="between">
      <formula>0.95</formula>
      <formula>1</formula>
    </cfRule>
    <cfRule type="cellIs" dxfId="9890" priority="12732" stopIfTrue="1" operator="between">
      <formula>0</formula>
      <formula>0.5</formula>
    </cfRule>
  </conditionalFormatting>
  <conditionalFormatting sqref="W40">
    <cfRule type="cellIs" dxfId="9889" priority="12723" operator="between">
      <formula>0.76</formula>
      <formula>0.95</formula>
    </cfRule>
    <cfRule type="cellIs" dxfId="9888" priority="12724" operator="between">
      <formula>0.51</formula>
      <formula>0.75</formula>
    </cfRule>
    <cfRule type="cellIs" dxfId="9887" priority="12725" operator="greaterThan">
      <formula>1</formula>
    </cfRule>
    <cfRule type="cellIs" dxfId="9886" priority="12726" operator="between">
      <formula>0.95</formula>
      <formula>1</formula>
    </cfRule>
    <cfRule type="cellIs" dxfId="9885" priority="12727" stopIfTrue="1" operator="between">
      <formula>0</formula>
      <formula>0.5</formula>
    </cfRule>
  </conditionalFormatting>
  <conditionalFormatting sqref="W41">
    <cfRule type="cellIs" dxfId="9884" priority="12718" operator="between">
      <formula>0.76</formula>
      <formula>0.95</formula>
    </cfRule>
    <cfRule type="cellIs" dxfId="9883" priority="12719" operator="between">
      <formula>0.51</formula>
      <formula>0.75</formula>
    </cfRule>
    <cfRule type="cellIs" dxfId="9882" priority="12720" operator="greaterThan">
      <formula>1</formula>
    </cfRule>
    <cfRule type="cellIs" dxfId="9881" priority="12721" operator="between">
      <formula>0.95</formula>
      <formula>1</formula>
    </cfRule>
    <cfRule type="cellIs" dxfId="9880" priority="12722" stopIfTrue="1" operator="between">
      <formula>0</formula>
      <formula>0.5</formula>
    </cfRule>
  </conditionalFormatting>
  <conditionalFormatting sqref="W42">
    <cfRule type="cellIs" dxfId="9879" priority="12713" operator="between">
      <formula>0.76</formula>
      <formula>0.95</formula>
    </cfRule>
    <cfRule type="cellIs" dxfId="9878" priority="12714" operator="between">
      <formula>0.51</formula>
      <formula>0.75</formula>
    </cfRule>
    <cfRule type="cellIs" dxfId="9877" priority="12715" operator="greaterThan">
      <formula>1</formula>
    </cfRule>
    <cfRule type="cellIs" dxfId="9876" priority="12716" operator="between">
      <formula>0.95</formula>
      <formula>1</formula>
    </cfRule>
    <cfRule type="cellIs" dxfId="9875" priority="12717" stopIfTrue="1" operator="between">
      <formula>0</formula>
      <formula>0.5</formula>
    </cfRule>
  </conditionalFormatting>
  <conditionalFormatting sqref="W44">
    <cfRule type="cellIs" dxfId="9874" priority="12708" operator="between">
      <formula>0.76</formula>
      <formula>0.95</formula>
    </cfRule>
    <cfRule type="cellIs" dxfId="9873" priority="12709" operator="between">
      <formula>0.51</formula>
      <formula>0.75</formula>
    </cfRule>
    <cfRule type="cellIs" dxfId="9872" priority="12710" operator="greaterThan">
      <formula>1</formula>
    </cfRule>
    <cfRule type="cellIs" dxfId="9871" priority="12711" operator="between">
      <formula>0.95</formula>
      <formula>1</formula>
    </cfRule>
    <cfRule type="cellIs" dxfId="9870" priority="12712" stopIfTrue="1" operator="between">
      <formula>0</formula>
      <formula>0.5</formula>
    </cfRule>
  </conditionalFormatting>
  <conditionalFormatting sqref="W43">
    <cfRule type="cellIs" dxfId="9869" priority="12703" operator="between">
      <formula>0.76</formula>
      <formula>0.95</formula>
    </cfRule>
    <cfRule type="cellIs" dxfId="9868" priority="12704" operator="between">
      <formula>0.51</formula>
      <formula>0.75</formula>
    </cfRule>
    <cfRule type="cellIs" dxfId="9867" priority="12705" operator="greaterThan">
      <formula>1</formula>
    </cfRule>
    <cfRule type="cellIs" dxfId="9866" priority="12706" operator="between">
      <formula>0.95</formula>
      <formula>1</formula>
    </cfRule>
    <cfRule type="cellIs" dxfId="9865" priority="12707" stopIfTrue="1" operator="between">
      <formula>0</formula>
      <formula>0.5</formula>
    </cfRule>
  </conditionalFormatting>
  <conditionalFormatting sqref="W45">
    <cfRule type="cellIs" dxfId="9864" priority="12698" operator="between">
      <formula>0.76</formula>
      <formula>0.95</formula>
    </cfRule>
    <cfRule type="cellIs" dxfId="9863" priority="12699" operator="between">
      <formula>0.51</formula>
      <formula>0.75</formula>
    </cfRule>
    <cfRule type="cellIs" dxfId="9862" priority="12700" operator="greaterThan">
      <formula>1</formula>
    </cfRule>
    <cfRule type="cellIs" dxfId="9861" priority="12701" operator="between">
      <formula>0.95</formula>
      <formula>1</formula>
    </cfRule>
    <cfRule type="cellIs" dxfId="9860" priority="12702" stopIfTrue="1" operator="between">
      <formula>0</formula>
      <formula>0.5</formula>
    </cfRule>
  </conditionalFormatting>
  <conditionalFormatting sqref="W46">
    <cfRule type="cellIs" dxfId="9859" priority="12693" operator="between">
      <formula>0.76</formula>
      <formula>0.95</formula>
    </cfRule>
    <cfRule type="cellIs" dxfId="9858" priority="12694" operator="between">
      <formula>0.51</formula>
      <formula>0.75</formula>
    </cfRule>
    <cfRule type="cellIs" dxfId="9857" priority="12695" operator="greaterThan">
      <formula>1</formula>
    </cfRule>
    <cfRule type="cellIs" dxfId="9856" priority="12696" operator="between">
      <formula>0.95</formula>
      <formula>1</formula>
    </cfRule>
    <cfRule type="cellIs" dxfId="9855" priority="12697" stopIfTrue="1" operator="between">
      <formula>0</formula>
      <formula>0.5</formula>
    </cfRule>
  </conditionalFormatting>
  <conditionalFormatting sqref="W47">
    <cfRule type="cellIs" dxfId="9854" priority="12688" operator="between">
      <formula>0.76</formula>
      <formula>0.95</formula>
    </cfRule>
    <cfRule type="cellIs" dxfId="9853" priority="12689" operator="between">
      <formula>0.51</formula>
      <formula>0.75</formula>
    </cfRule>
    <cfRule type="cellIs" dxfId="9852" priority="12690" operator="greaterThan">
      <formula>1</formula>
    </cfRule>
    <cfRule type="cellIs" dxfId="9851" priority="12691" operator="between">
      <formula>0.95</formula>
      <formula>1</formula>
    </cfRule>
    <cfRule type="cellIs" dxfId="9850" priority="12692" stopIfTrue="1" operator="between">
      <formula>0</formula>
      <formula>0.5</formula>
    </cfRule>
  </conditionalFormatting>
  <conditionalFormatting sqref="W48">
    <cfRule type="cellIs" dxfId="9849" priority="12683" operator="between">
      <formula>0.76</formula>
      <formula>0.95</formula>
    </cfRule>
    <cfRule type="cellIs" dxfId="9848" priority="12684" operator="between">
      <formula>0.51</formula>
      <formula>0.75</formula>
    </cfRule>
    <cfRule type="cellIs" dxfId="9847" priority="12685" operator="greaterThan">
      <formula>1</formula>
    </cfRule>
    <cfRule type="cellIs" dxfId="9846" priority="12686" operator="between">
      <formula>0.95</formula>
      <formula>1</formula>
    </cfRule>
    <cfRule type="cellIs" dxfId="9845" priority="12687" stopIfTrue="1" operator="between">
      <formula>0</formula>
      <formula>0.5</formula>
    </cfRule>
  </conditionalFormatting>
  <conditionalFormatting sqref="W49">
    <cfRule type="cellIs" dxfId="9844" priority="12678" operator="between">
      <formula>0.76</formula>
      <formula>0.95</formula>
    </cfRule>
    <cfRule type="cellIs" dxfId="9843" priority="12679" operator="between">
      <formula>0.51</formula>
      <formula>0.75</formula>
    </cfRule>
    <cfRule type="cellIs" dxfId="9842" priority="12680" operator="greaterThan">
      <formula>1</formula>
    </cfRule>
    <cfRule type="cellIs" dxfId="9841" priority="12681" operator="between">
      <formula>0.95</formula>
      <formula>1</formula>
    </cfRule>
    <cfRule type="cellIs" dxfId="9840" priority="12682" stopIfTrue="1" operator="between">
      <formula>0</formula>
      <formula>0.5</formula>
    </cfRule>
  </conditionalFormatting>
  <conditionalFormatting sqref="W50">
    <cfRule type="cellIs" dxfId="9839" priority="12673" operator="between">
      <formula>0.76</formula>
      <formula>0.95</formula>
    </cfRule>
    <cfRule type="cellIs" dxfId="9838" priority="12674" operator="between">
      <formula>0.51</formula>
      <formula>0.75</formula>
    </cfRule>
    <cfRule type="cellIs" dxfId="9837" priority="12675" operator="greaterThan">
      <formula>1</formula>
    </cfRule>
    <cfRule type="cellIs" dxfId="9836" priority="12676" operator="between">
      <formula>0.95</formula>
      <formula>1</formula>
    </cfRule>
    <cfRule type="cellIs" dxfId="9835" priority="12677" stopIfTrue="1" operator="between">
      <formula>0</formula>
      <formula>0.5</formula>
    </cfRule>
  </conditionalFormatting>
  <conditionalFormatting sqref="W51">
    <cfRule type="cellIs" dxfId="9834" priority="12668" operator="between">
      <formula>0.76</formula>
      <formula>0.95</formula>
    </cfRule>
    <cfRule type="cellIs" dxfId="9833" priority="12669" operator="between">
      <formula>0.51</formula>
      <formula>0.75</formula>
    </cfRule>
    <cfRule type="cellIs" dxfId="9832" priority="12670" operator="greaterThan">
      <formula>1</formula>
    </cfRule>
    <cfRule type="cellIs" dxfId="9831" priority="12671" operator="between">
      <formula>0.95</formula>
      <formula>1</formula>
    </cfRule>
    <cfRule type="cellIs" dxfId="9830" priority="12672" stopIfTrue="1" operator="between">
      <formula>0</formula>
      <formula>0.5</formula>
    </cfRule>
  </conditionalFormatting>
  <conditionalFormatting sqref="W52">
    <cfRule type="cellIs" dxfId="9829" priority="12663" operator="between">
      <formula>0.76</formula>
      <formula>0.95</formula>
    </cfRule>
    <cfRule type="cellIs" dxfId="9828" priority="12664" operator="between">
      <formula>0.51</formula>
      <formula>0.75</formula>
    </cfRule>
    <cfRule type="cellIs" dxfId="9827" priority="12665" operator="greaterThan">
      <formula>1</formula>
    </cfRule>
    <cfRule type="cellIs" dxfId="9826" priority="12666" operator="between">
      <formula>0.95</formula>
      <formula>1</formula>
    </cfRule>
    <cfRule type="cellIs" dxfId="9825" priority="12667" stopIfTrue="1" operator="between">
      <formula>0</formula>
      <formula>0.5</formula>
    </cfRule>
  </conditionalFormatting>
  <conditionalFormatting sqref="W53">
    <cfRule type="cellIs" dxfId="9824" priority="12658" operator="between">
      <formula>0.76</formula>
      <formula>0.95</formula>
    </cfRule>
    <cfRule type="cellIs" dxfId="9823" priority="12659" operator="between">
      <formula>0.51</formula>
      <formula>0.75</formula>
    </cfRule>
    <cfRule type="cellIs" dxfId="9822" priority="12660" operator="greaterThan">
      <formula>1</formula>
    </cfRule>
    <cfRule type="cellIs" dxfId="9821" priority="12661" operator="between">
      <formula>0.95</formula>
      <formula>1</formula>
    </cfRule>
    <cfRule type="cellIs" dxfId="9820" priority="12662" stopIfTrue="1" operator="between">
      <formula>0</formula>
      <formula>0.5</formula>
    </cfRule>
  </conditionalFormatting>
  <conditionalFormatting sqref="W55">
    <cfRule type="cellIs" dxfId="9819" priority="12653" operator="between">
      <formula>0.76</formula>
      <formula>0.95</formula>
    </cfRule>
    <cfRule type="cellIs" dxfId="9818" priority="12654" operator="between">
      <formula>0.51</formula>
      <formula>0.75</formula>
    </cfRule>
    <cfRule type="cellIs" dxfId="9817" priority="12655" operator="greaterThan">
      <formula>1</formula>
    </cfRule>
    <cfRule type="cellIs" dxfId="9816" priority="12656" operator="between">
      <formula>0.95</formula>
      <formula>1</formula>
    </cfRule>
    <cfRule type="cellIs" dxfId="9815" priority="12657" stopIfTrue="1" operator="between">
      <formula>0</formula>
      <formula>0.5</formula>
    </cfRule>
  </conditionalFormatting>
  <conditionalFormatting sqref="W54">
    <cfRule type="cellIs" dxfId="9814" priority="12648" operator="between">
      <formula>0.76</formula>
      <formula>0.95</formula>
    </cfRule>
    <cfRule type="cellIs" dxfId="9813" priority="12649" operator="between">
      <formula>0.51</formula>
      <formula>0.75</formula>
    </cfRule>
    <cfRule type="cellIs" dxfId="9812" priority="12650" operator="greaterThan">
      <formula>1</formula>
    </cfRule>
    <cfRule type="cellIs" dxfId="9811" priority="12651" operator="between">
      <formula>0.95</formula>
      <formula>1</formula>
    </cfRule>
    <cfRule type="cellIs" dxfId="9810" priority="12652" stopIfTrue="1" operator="between">
      <formula>0</formula>
      <formula>0.5</formula>
    </cfRule>
  </conditionalFormatting>
  <conditionalFormatting sqref="W56">
    <cfRule type="cellIs" dxfId="9809" priority="12643" operator="between">
      <formula>0.76</formula>
      <formula>0.95</formula>
    </cfRule>
    <cfRule type="cellIs" dxfId="9808" priority="12644" operator="between">
      <formula>0.51</formula>
      <formula>0.75</formula>
    </cfRule>
    <cfRule type="cellIs" dxfId="9807" priority="12645" operator="greaterThan">
      <formula>1</formula>
    </cfRule>
    <cfRule type="cellIs" dxfId="9806" priority="12646" operator="between">
      <formula>0.95</formula>
      <formula>1</formula>
    </cfRule>
    <cfRule type="cellIs" dxfId="9805" priority="12647" stopIfTrue="1" operator="between">
      <formula>0</formula>
      <formula>0.5</formula>
    </cfRule>
  </conditionalFormatting>
  <conditionalFormatting sqref="W57">
    <cfRule type="cellIs" dxfId="9804" priority="12638" operator="between">
      <formula>0.76</formula>
      <formula>0.95</formula>
    </cfRule>
    <cfRule type="cellIs" dxfId="9803" priority="12639" operator="between">
      <formula>0.51</formula>
      <formula>0.75</formula>
    </cfRule>
    <cfRule type="cellIs" dxfId="9802" priority="12640" operator="greaterThan">
      <formula>1</formula>
    </cfRule>
    <cfRule type="cellIs" dxfId="9801" priority="12641" operator="between">
      <formula>0.95</formula>
      <formula>1</formula>
    </cfRule>
    <cfRule type="cellIs" dxfId="9800" priority="12642" stopIfTrue="1" operator="between">
      <formula>0</formula>
      <formula>0.5</formula>
    </cfRule>
  </conditionalFormatting>
  <conditionalFormatting sqref="W58">
    <cfRule type="cellIs" dxfId="9799" priority="12633" operator="between">
      <formula>0.76</formula>
      <formula>0.95</formula>
    </cfRule>
    <cfRule type="cellIs" dxfId="9798" priority="12634" operator="between">
      <formula>0.51</formula>
      <formula>0.75</formula>
    </cfRule>
    <cfRule type="cellIs" dxfId="9797" priority="12635" operator="greaterThan">
      <formula>1</formula>
    </cfRule>
    <cfRule type="cellIs" dxfId="9796" priority="12636" operator="between">
      <formula>0.95</formula>
      <formula>1</formula>
    </cfRule>
    <cfRule type="cellIs" dxfId="9795" priority="12637" stopIfTrue="1" operator="between">
      <formula>0</formula>
      <formula>0.5</formula>
    </cfRule>
  </conditionalFormatting>
  <conditionalFormatting sqref="W59">
    <cfRule type="cellIs" dxfId="9794" priority="12628" operator="between">
      <formula>0.76</formula>
      <formula>0.95</formula>
    </cfRule>
    <cfRule type="cellIs" dxfId="9793" priority="12629" operator="between">
      <formula>0.51</formula>
      <formula>0.75</formula>
    </cfRule>
    <cfRule type="cellIs" dxfId="9792" priority="12630" operator="greaterThan">
      <formula>1</formula>
    </cfRule>
    <cfRule type="cellIs" dxfId="9791" priority="12631" operator="between">
      <formula>0.95</formula>
      <formula>1</formula>
    </cfRule>
    <cfRule type="cellIs" dxfId="9790" priority="12632" stopIfTrue="1" operator="between">
      <formula>0</formula>
      <formula>0.5</formula>
    </cfRule>
  </conditionalFormatting>
  <conditionalFormatting sqref="W60">
    <cfRule type="cellIs" dxfId="9789" priority="12618" operator="between">
      <formula>0.76</formula>
      <formula>0.95</formula>
    </cfRule>
    <cfRule type="cellIs" dxfId="9788" priority="12619" operator="between">
      <formula>0.51</formula>
      <formula>0.75</formula>
    </cfRule>
    <cfRule type="cellIs" dxfId="9787" priority="12620" operator="greaterThan">
      <formula>1</formula>
    </cfRule>
    <cfRule type="cellIs" dxfId="9786" priority="12621" operator="between">
      <formula>0.95</formula>
      <formula>1</formula>
    </cfRule>
    <cfRule type="cellIs" dxfId="9785" priority="12622" stopIfTrue="1" operator="between">
      <formula>0</formula>
      <formula>0.5</formula>
    </cfRule>
  </conditionalFormatting>
  <conditionalFormatting sqref="W61">
    <cfRule type="cellIs" dxfId="9784" priority="12613" operator="between">
      <formula>0.76</formula>
      <formula>0.95</formula>
    </cfRule>
    <cfRule type="cellIs" dxfId="9783" priority="12614" operator="between">
      <formula>0.51</formula>
      <formula>0.75</formula>
    </cfRule>
    <cfRule type="cellIs" dxfId="9782" priority="12615" operator="greaterThan">
      <formula>1</formula>
    </cfRule>
    <cfRule type="cellIs" dxfId="9781" priority="12616" operator="between">
      <formula>0.95</formula>
      <formula>1</formula>
    </cfRule>
    <cfRule type="cellIs" dxfId="9780" priority="12617" stopIfTrue="1" operator="between">
      <formula>0</formula>
      <formula>0.5</formula>
    </cfRule>
  </conditionalFormatting>
  <conditionalFormatting sqref="W62">
    <cfRule type="cellIs" dxfId="9779" priority="12608" operator="between">
      <formula>0.76</formula>
      <formula>0.95</formula>
    </cfRule>
    <cfRule type="cellIs" dxfId="9778" priority="12609" operator="between">
      <formula>0.51</formula>
      <formula>0.75</formula>
    </cfRule>
    <cfRule type="cellIs" dxfId="9777" priority="12610" operator="greaterThan">
      <formula>1</formula>
    </cfRule>
    <cfRule type="cellIs" dxfId="9776" priority="12611" operator="between">
      <formula>0.95</formula>
      <formula>1</formula>
    </cfRule>
    <cfRule type="cellIs" dxfId="9775" priority="12612" stopIfTrue="1" operator="between">
      <formula>0</formula>
      <formula>0.5</formula>
    </cfRule>
  </conditionalFormatting>
  <conditionalFormatting sqref="W64">
    <cfRule type="cellIs" dxfId="9774" priority="12603" operator="between">
      <formula>0.76</formula>
      <formula>0.95</formula>
    </cfRule>
    <cfRule type="cellIs" dxfId="9773" priority="12604" operator="between">
      <formula>0.51</formula>
      <formula>0.75</formula>
    </cfRule>
    <cfRule type="cellIs" dxfId="9772" priority="12605" operator="greaterThan">
      <formula>1</formula>
    </cfRule>
    <cfRule type="cellIs" dxfId="9771" priority="12606" operator="between">
      <formula>0.95</formula>
      <formula>1</formula>
    </cfRule>
    <cfRule type="cellIs" dxfId="9770" priority="12607" stopIfTrue="1" operator="between">
      <formula>0</formula>
      <formula>0.5</formula>
    </cfRule>
  </conditionalFormatting>
  <conditionalFormatting sqref="W65">
    <cfRule type="cellIs" dxfId="9769" priority="12598" operator="between">
      <formula>0.76</formula>
      <formula>0.95</formula>
    </cfRule>
    <cfRule type="cellIs" dxfId="9768" priority="12599" operator="between">
      <formula>0.51</formula>
      <formula>0.75</formula>
    </cfRule>
    <cfRule type="cellIs" dxfId="9767" priority="12600" operator="greaterThan">
      <formula>1</formula>
    </cfRule>
    <cfRule type="cellIs" dxfId="9766" priority="12601" operator="between">
      <formula>0.95</formula>
      <formula>1</formula>
    </cfRule>
    <cfRule type="cellIs" dxfId="9765" priority="12602" stopIfTrue="1" operator="between">
      <formula>0</formula>
      <formula>0.5</formula>
    </cfRule>
  </conditionalFormatting>
  <conditionalFormatting sqref="W66">
    <cfRule type="cellIs" dxfId="9764" priority="12593" operator="between">
      <formula>0.76</formula>
      <formula>0.95</formula>
    </cfRule>
    <cfRule type="cellIs" dxfId="9763" priority="12594" operator="between">
      <formula>0.51</formula>
      <formula>0.75</formula>
    </cfRule>
    <cfRule type="cellIs" dxfId="9762" priority="12595" operator="greaterThan">
      <formula>1</formula>
    </cfRule>
    <cfRule type="cellIs" dxfId="9761" priority="12596" operator="between">
      <formula>0.95</formula>
      <formula>1</formula>
    </cfRule>
    <cfRule type="cellIs" dxfId="9760" priority="12597" stopIfTrue="1" operator="between">
      <formula>0</formula>
      <formula>0.5</formula>
    </cfRule>
  </conditionalFormatting>
  <conditionalFormatting sqref="W67">
    <cfRule type="cellIs" dxfId="9759" priority="12588" operator="between">
      <formula>0.76</formula>
      <formula>0.95</formula>
    </cfRule>
    <cfRule type="cellIs" dxfId="9758" priority="12589" operator="between">
      <formula>0.51</formula>
      <formula>0.75</formula>
    </cfRule>
    <cfRule type="cellIs" dxfId="9757" priority="12590" operator="greaterThan">
      <formula>1</formula>
    </cfRule>
    <cfRule type="cellIs" dxfId="9756" priority="12591" operator="between">
      <formula>0.95</formula>
      <formula>1</formula>
    </cfRule>
    <cfRule type="cellIs" dxfId="9755" priority="12592" stopIfTrue="1" operator="between">
      <formula>0</formula>
      <formula>0.5</formula>
    </cfRule>
  </conditionalFormatting>
  <conditionalFormatting sqref="W68">
    <cfRule type="cellIs" dxfId="9754" priority="12583" operator="between">
      <formula>0.76</formula>
      <formula>0.95</formula>
    </cfRule>
    <cfRule type="cellIs" dxfId="9753" priority="12584" operator="between">
      <formula>0.51</formula>
      <formula>0.75</formula>
    </cfRule>
    <cfRule type="cellIs" dxfId="9752" priority="12585" operator="greaterThan">
      <formula>1</formula>
    </cfRule>
    <cfRule type="cellIs" dxfId="9751" priority="12586" operator="between">
      <formula>0.95</formula>
      <formula>1</formula>
    </cfRule>
    <cfRule type="cellIs" dxfId="9750" priority="12587" stopIfTrue="1" operator="between">
      <formula>0</formula>
      <formula>0.5</formula>
    </cfRule>
  </conditionalFormatting>
  <conditionalFormatting sqref="W69">
    <cfRule type="cellIs" dxfId="9749" priority="12578" operator="between">
      <formula>0.76</formula>
      <formula>0.95</formula>
    </cfRule>
    <cfRule type="cellIs" dxfId="9748" priority="12579" operator="between">
      <formula>0.51</formula>
      <formula>0.75</formula>
    </cfRule>
    <cfRule type="cellIs" dxfId="9747" priority="12580" operator="greaterThan">
      <formula>1</formula>
    </cfRule>
    <cfRule type="cellIs" dxfId="9746" priority="12581" operator="between">
      <formula>0.95</formula>
      <formula>1</formula>
    </cfRule>
    <cfRule type="cellIs" dxfId="9745" priority="12582" stopIfTrue="1" operator="between">
      <formula>0</formula>
      <formula>0.5</formula>
    </cfRule>
  </conditionalFormatting>
  <conditionalFormatting sqref="W70">
    <cfRule type="cellIs" dxfId="9744" priority="12573" operator="between">
      <formula>0.76</formula>
      <formula>0.95</formula>
    </cfRule>
    <cfRule type="cellIs" dxfId="9743" priority="12574" operator="between">
      <formula>0.51</formula>
      <formula>0.75</formula>
    </cfRule>
    <cfRule type="cellIs" dxfId="9742" priority="12575" operator="greaterThan">
      <formula>1</formula>
    </cfRule>
    <cfRule type="cellIs" dxfId="9741" priority="12576" operator="between">
      <formula>0.95</formula>
      <formula>1</formula>
    </cfRule>
    <cfRule type="cellIs" dxfId="9740" priority="12577" stopIfTrue="1" operator="between">
      <formula>0</formula>
      <formula>0.5</formula>
    </cfRule>
  </conditionalFormatting>
  <conditionalFormatting sqref="W71">
    <cfRule type="cellIs" dxfId="9739" priority="12568" operator="between">
      <formula>0.76</formula>
      <formula>0.95</formula>
    </cfRule>
    <cfRule type="cellIs" dxfId="9738" priority="12569" operator="between">
      <formula>0.51</formula>
      <formula>0.75</formula>
    </cfRule>
    <cfRule type="cellIs" dxfId="9737" priority="12570" operator="greaterThan">
      <formula>1</formula>
    </cfRule>
    <cfRule type="cellIs" dxfId="9736" priority="12571" operator="between">
      <formula>0.95</formula>
      <formula>1</formula>
    </cfRule>
    <cfRule type="cellIs" dxfId="9735" priority="12572" stopIfTrue="1" operator="between">
      <formula>0</formula>
      <formula>0.5</formula>
    </cfRule>
  </conditionalFormatting>
  <conditionalFormatting sqref="W72">
    <cfRule type="cellIs" dxfId="9734" priority="12563" operator="between">
      <formula>0.76</formula>
      <formula>0.95</formula>
    </cfRule>
    <cfRule type="cellIs" dxfId="9733" priority="12564" operator="between">
      <formula>0.51</formula>
      <formula>0.75</formula>
    </cfRule>
    <cfRule type="cellIs" dxfId="9732" priority="12565" operator="greaterThan">
      <formula>1</formula>
    </cfRule>
    <cfRule type="cellIs" dxfId="9731" priority="12566" operator="between">
      <formula>0.95</formula>
      <formula>1</formula>
    </cfRule>
    <cfRule type="cellIs" dxfId="9730" priority="12567" stopIfTrue="1" operator="between">
      <formula>0</formula>
      <formula>0.5</formula>
    </cfRule>
  </conditionalFormatting>
  <conditionalFormatting sqref="W75">
    <cfRule type="cellIs" dxfId="9729" priority="12558" operator="between">
      <formula>0.76</formula>
      <formula>0.95</formula>
    </cfRule>
    <cfRule type="cellIs" dxfId="9728" priority="12559" operator="between">
      <formula>0.51</formula>
      <formula>0.75</formula>
    </cfRule>
    <cfRule type="cellIs" dxfId="9727" priority="12560" operator="greaterThan">
      <formula>1</formula>
    </cfRule>
    <cfRule type="cellIs" dxfId="9726" priority="12561" operator="between">
      <formula>0.95</formula>
      <formula>1</formula>
    </cfRule>
    <cfRule type="cellIs" dxfId="9725" priority="12562" stopIfTrue="1" operator="between">
      <formula>0</formula>
      <formula>0.5</formula>
    </cfRule>
  </conditionalFormatting>
  <conditionalFormatting sqref="W76">
    <cfRule type="cellIs" dxfId="9724" priority="12553" operator="between">
      <formula>0.76</formula>
      <formula>0.95</formula>
    </cfRule>
    <cfRule type="cellIs" dxfId="9723" priority="12554" operator="between">
      <formula>0.51</formula>
      <formula>0.75</formula>
    </cfRule>
    <cfRule type="cellIs" dxfId="9722" priority="12555" operator="greaterThan">
      <formula>1</formula>
    </cfRule>
    <cfRule type="cellIs" dxfId="9721" priority="12556" operator="between">
      <formula>0.95</formula>
      <formula>1</formula>
    </cfRule>
    <cfRule type="cellIs" dxfId="9720" priority="12557" stopIfTrue="1" operator="between">
      <formula>0</formula>
      <formula>0.5</formula>
    </cfRule>
  </conditionalFormatting>
  <conditionalFormatting sqref="W77">
    <cfRule type="cellIs" dxfId="9719" priority="12548" operator="between">
      <formula>0.76</formula>
      <formula>0.95</formula>
    </cfRule>
    <cfRule type="cellIs" dxfId="9718" priority="12549" operator="between">
      <formula>0.51</formula>
      <formula>0.75</formula>
    </cfRule>
    <cfRule type="cellIs" dxfId="9717" priority="12550" operator="greaterThan">
      <formula>1</formula>
    </cfRule>
    <cfRule type="cellIs" dxfId="9716" priority="12551" operator="between">
      <formula>0.95</formula>
      <formula>1</formula>
    </cfRule>
    <cfRule type="cellIs" dxfId="9715" priority="12552" stopIfTrue="1" operator="between">
      <formula>0</formula>
      <formula>0.5</formula>
    </cfRule>
  </conditionalFormatting>
  <conditionalFormatting sqref="W78">
    <cfRule type="cellIs" dxfId="9714" priority="12543" operator="between">
      <formula>0.76</formula>
      <formula>0.95</formula>
    </cfRule>
    <cfRule type="cellIs" dxfId="9713" priority="12544" operator="between">
      <formula>0.51</formula>
      <formula>0.75</formula>
    </cfRule>
    <cfRule type="cellIs" dxfId="9712" priority="12545" operator="greaterThan">
      <formula>1</formula>
    </cfRule>
    <cfRule type="cellIs" dxfId="9711" priority="12546" operator="between">
      <formula>0.95</formula>
      <formula>1</formula>
    </cfRule>
    <cfRule type="cellIs" dxfId="9710" priority="12547" stopIfTrue="1" operator="between">
      <formula>0</formula>
      <formula>0.5</formula>
    </cfRule>
  </conditionalFormatting>
  <conditionalFormatting sqref="W81">
    <cfRule type="cellIs" dxfId="9709" priority="12538" operator="between">
      <formula>0.76</formula>
      <formula>0.95</formula>
    </cfRule>
    <cfRule type="cellIs" dxfId="9708" priority="12539" operator="between">
      <formula>0.51</formula>
      <formula>0.75</formula>
    </cfRule>
    <cfRule type="cellIs" dxfId="9707" priority="12540" operator="greaterThan">
      <formula>1</formula>
    </cfRule>
    <cfRule type="cellIs" dxfId="9706" priority="12541" operator="between">
      <formula>0.95</formula>
      <formula>1</formula>
    </cfRule>
    <cfRule type="cellIs" dxfId="9705" priority="12542" stopIfTrue="1" operator="between">
      <formula>0</formula>
      <formula>0.5</formula>
    </cfRule>
  </conditionalFormatting>
  <conditionalFormatting sqref="W82">
    <cfRule type="cellIs" dxfId="9704" priority="12533" operator="between">
      <formula>0.76</formula>
      <formula>0.95</formula>
    </cfRule>
    <cfRule type="cellIs" dxfId="9703" priority="12534" operator="between">
      <formula>0.51</formula>
      <formula>0.75</formula>
    </cfRule>
    <cfRule type="cellIs" dxfId="9702" priority="12535" operator="greaterThan">
      <formula>1</formula>
    </cfRule>
    <cfRule type="cellIs" dxfId="9701" priority="12536" operator="between">
      <formula>0.95</formula>
      <formula>1</formula>
    </cfRule>
    <cfRule type="cellIs" dxfId="9700" priority="12537" stopIfTrue="1" operator="between">
      <formula>0</formula>
      <formula>0.5</formula>
    </cfRule>
  </conditionalFormatting>
  <conditionalFormatting sqref="W83">
    <cfRule type="cellIs" dxfId="9699" priority="12528" operator="between">
      <formula>0.76</formula>
      <formula>0.95</formula>
    </cfRule>
    <cfRule type="cellIs" dxfId="9698" priority="12529" operator="between">
      <formula>0.51</formula>
      <formula>0.75</formula>
    </cfRule>
    <cfRule type="cellIs" dxfId="9697" priority="12530" operator="greaterThan">
      <formula>1</formula>
    </cfRule>
    <cfRule type="cellIs" dxfId="9696" priority="12531" operator="between">
      <formula>0.95</formula>
      <formula>1</formula>
    </cfRule>
    <cfRule type="cellIs" dxfId="9695" priority="12532" stopIfTrue="1" operator="between">
      <formula>0</formula>
      <formula>0.5</formula>
    </cfRule>
  </conditionalFormatting>
  <conditionalFormatting sqref="W84">
    <cfRule type="cellIs" dxfId="9694" priority="12523" operator="between">
      <formula>0.76</formula>
      <formula>0.95</formula>
    </cfRule>
    <cfRule type="cellIs" dxfId="9693" priority="12524" operator="between">
      <formula>0.51</formula>
      <formula>0.75</formula>
    </cfRule>
    <cfRule type="cellIs" dxfId="9692" priority="12525" operator="greaterThan">
      <formula>1</formula>
    </cfRule>
    <cfRule type="cellIs" dxfId="9691" priority="12526" operator="between">
      <formula>0.95</formula>
      <formula>1</formula>
    </cfRule>
    <cfRule type="cellIs" dxfId="9690" priority="12527" stopIfTrue="1" operator="between">
      <formula>0</formula>
      <formula>0.5</formula>
    </cfRule>
  </conditionalFormatting>
  <conditionalFormatting sqref="W85">
    <cfRule type="cellIs" dxfId="9689" priority="12518" operator="between">
      <formula>0.76</formula>
      <formula>0.95</formula>
    </cfRule>
    <cfRule type="cellIs" dxfId="9688" priority="12519" operator="between">
      <formula>0.51</formula>
      <formula>0.75</formula>
    </cfRule>
    <cfRule type="cellIs" dxfId="9687" priority="12520" operator="greaterThan">
      <formula>1</formula>
    </cfRule>
    <cfRule type="cellIs" dxfId="9686" priority="12521" operator="between">
      <formula>0.95</formula>
      <formula>1</formula>
    </cfRule>
    <cfRule type="cellIs" dxfId="9685" priority="12522" stopIfTrue="1" operator="between">
      <formula>0</formula>
      <formula>0.5</formula>
    </cfRule>
  </conditionalFormatting>
  <conditionalFormatting sqref="W86">
    <cfRule type="cellIs" dxfId="9684" priority="12508" operator="between">
      <formula>0.76</formula>
      <formula>0.95</formula>
    </cfRule>
    <cfRule type="cellIs" dxfId="9683" priority="12509" operator="between">
      <formula>0.51</formula>
      <formula>0.75</formula>
    </cfRule>
    <cfRule type="cellIs" dxfId="9682" priority="12510" operator="greaterThan">
      <formula>1</formula>
    </cfRule>
    <cfRule type="cellIs" dxfId="9681" priority="12511" operator="between">
      <formula>0.95</formula>
      <formula>1</formula>
    </cfRule>
    <cfRule type="cellIs" dxfId="9680" priority="12512" stopIfTrue="1" operator="between">
      <formula>0</formula>
      <formula>0.5</formula>
    </cfRule>
  </conditionalFormatting>
  <conditionalFormatting sqref="W91">
    <cfRule type="cellIs" dxfId="9679" priority="12498" operator="between">
      <formula>0.76</formula>
      <formula>0.95</formula>
    </cfRule>
    <cfRule type="cellIs" dxfId="9678" priority="12499" operator="between">
      <formula>0.51</formula>
      <formula>0.75</formula>
    </cfRule>
    <cfRule type="cellIs" dxfId="9677" priority="12500" operator="greaterThan">
      <formula>1</formula>
    </cfRule>
    <cfRule type="cellIs" dxfId="9676" priority="12501" operator="between">
      <formula>0.95</formula>
      <formula>1</formula>
    </cfRule>
    <cfRule type="cellIs" dxfId="9675" priority="12502" stopIfTrue="1" operator="between">
      <formula>0</formula>
      <formula>0.5</formula>
    </cfRule>
  </conditionalFormatting>
  <conditionalFormatting sqref="W94">
    <cfRule type="cellIs" dxfId="9674" priority="12493" operator="between">
      <formula>0.76</formula>
      <formula>0.95</formula>
    </cfRule>
    <cfRule type="cellIs" dxfId="9673" priority="12494" operator="between">
      <formula>0.51</formula>
      <formula>0.75</formula>
    </cfRule>
    <cfRule type="cellIs" dxfId="9672" priority="12495" operator="greaterThan">
      <formula>1</formula>
    </cfRule>
    <cfRule type="cellIs" dxfId="9671" priority="12496" operator="between">
      <formula>0.95</formula>
      <formula>1</formula>
    </cfRule>
    <cfRule type="cellIs" dxfId="9670" priority="12497" stopIfTrue="1" operator="between">
      <formula>0</formula>
      <formula>0.5</formula>
    </cfRule>
  </conditionalFormatting>
  <conditionalFormatting sqref="W95">
    <cfRule type="cellIs" dxfId="9669" priority="12488" operator="between">
      <formula>0.76</formula>
      <formula>0.95</formula>
    </cfRule>
    <cfRule type="cellIs" dxfId="9668" priority="12489" operator="between">
      <formula>0.51</formula>
      <formula>0.75</formula>
    </cfRule>
    <cfRule type="cellIs" dxfId="9667" priority="12490" operator="greaterThan">
      <formula>1</formula>
    </cfRule>
    <cfRule type="cellIs" dxfId="9666" priority="12491" operator="between">
      <formula>0.95</formula>
      <formula>1</formula>
    </cfRule>
    <cfRule type="cellIs" dxfId="9665" priority="12492" stopIfTrue="1" operator="between">
      <formula>0</formula>
      <formula>0.5</formula>
    </cfRule>
  </conditionalFormatting>
  <conditionalFormatting sqref="W96">
    <cfRule type="cellIs" dxfId="9664" priority="12483" operator="between">
      <formula>0.76</formula>
      <formula>0.95</formula>
    </cfRule>
    <cfRule type="cellIs" dxfId="9663" priority="12484" operator="between">
      <formula>0.51</formula>
      <formula>0.75</formula>
    </cfRule>
    <cfRule type="cellIs" dxfId="9662" priority="12485" operator="greaterThan">
      <formula>1</formula>
    </cfRule>
    <cfRule type="cellIs" dxfId="9661" priority="12486" operator="between">
      <formula>0.95</formula>
      <formula>1</formula>
    </cfRule>
    <cfRule type="cellIs" dxfId="9660" priority="12487" stopIfTrue="1" operator="between">
      <formula>0</formula>
      <formula>0.5</formula>
    </cfRule>
  </conditionalFormatting>
  <conditionalFormatting sqref="W97">
    <cfRule type="cellIs" dxfId="9659" priority="12478" operator="between">
      <formula>0.76</formula>
      <formula>0.95</formula>
    </cfRule>
    <cfRule type="cellIs" dxfId="9658" priority="12479" operator="between">
      <formula>0.51</formula>
      <formula>0.75</formula>
    </cfRule>
    <cfRule type="cellIs" dxfId="9657" priority="12480" operator="greaterThan">
      <formula>1</formula>
    </cfRule>
    <cfRule type="cellIs" dxfId="9656" priority="12481" operator="between">
      <formula>0.95</formula>
      <formula>1</formula>
    </cfRule>
    <cfRule type="cellIs" dxfId="9655" priority="12482" stopIfTrue="1" operator="between">
      <formula>0</formula>
      <formula>0.5</formula>
    </cfRule>
  </conditionalFormatting>
  <conditionalFormatting sqref="W98">
    <cfRule type="cellIs" dxfId="9654" priority="12473" operator="between">
      <formula>0.76</formula>
      <formula>0.95</formula>
    </cfRule>
    <cfRule type="cellIs" dxfId="9653" priority="12474" operator="between">
      <formula>0.51</formula>
      <formula>0.75</formula>
    </cfRule>
    <cfRule type="cellIs" dxfId="9652" priority="12475" operator="greaterThan">
      <formula>1</formula>
    </cfRule>
    <cfRule type="cellIs" dxfId="9651" priority="12476" operator="between">
      <formula>0.95</formula>
      <formula>1</formula>
    </cfRule>
    <cfRule type="cellIs" dxfId="9650" priority="12477" stopIfTrue="1" operator="between">
      <formula>0</formula>
      <formula>0.5</formula>
    </cfRule>
  </conditionalFormatting>
  <conditionalFormatting sqref="W99">
    <cfRule type="cellIs" dxfId="9649" priority="12468" operator="between">
      <formula>0.76</formula>
      <formula>0.95</formula>
    </cfRule>
    <cfRule type="cellIs" dxfId="9648" priority="12469" operator="between">
      <formula>0.51</formula>
      <formula>0.75</formula>
    </cfRule>
    <cfRule type="cellIs" dxfId="9647" priority="12470" operator="greaterThan">
      <formula>1</formula>
    </cfRule>
    <cfRule type="cellIs" dxfId="9646" priority="12471" operator="between">
      <formula>0.95</formula>
      <formula>1</formula>
    </cfRule>
    <cfRule type="cellIs" dxfId="9645" priority="12472" stopIfTrue="1" operator="between">
      <formula>0</formula>
      <formula>0.5</formula>
    </cfRule>
  </conditionalFormatting>
  <conditionalFormatting sqref="W101">
    <cfRule type="cellIs" dxfId="9644" priority="12463" operator="between">
      <formula>0.76</formula>
      <formula>0.95</formula>
    </cfRule>
    <cfRule type="cellIs" dxfId="9643" priority="12464" operator="between">
      <formula>0.51</formula>
      <formula>0.75</formula>
    </cfRule>
    <cfRule type="cellIs" dxfId="9642" priority="12465" operator="greaterThan">
      <formula>1</formula>
    </cfRule>
    <cfRule type="cellIs" dxfId="9641" priority="12466" operator="between">
      <formula>0.95</formula>
      <formula>1</formula>
    </cfRule>
    <cfRule type="cellIs" dxfId="9640" priority="12467" stopIfTrue="1" operator="between">
      <formula>0</formula>
      <formula>0.5</formula>
    </cfRule>
  </conditionalFormatting>
  <conditionalFormatting sqref="W102">
    <cfRule type="cellIs" dxfId="9639" priority="12453" operator="between">
      <formula>0.76</formula>
      <formula>0.95</formula>
    </cfRule>
    <cfRule type="cellIs" dxfId="9638" priority="12454" operator="between">
      <formula>0.51</formula>
      <formula>0.75</formula>
    </cfRule>
    <cfRule type="cellIs" dxfId="9637" priority="12455" operator="greaterThan">
      <formula>1</formula>
    </cfRule>
    <cfRule type="cellIs" dxfId="9636" priority="12456" operator="between">
      <formula>0.95</formula>
      <formula>1</formula>
    </cfRule>
    <cfRule type="cellIs" dxfId="9635" priority="12457" stopIfTrue="1" operator="between">
      <formula>0</formula>
      <formula>0.5</formula>
    </cfRule>
  </conditionalFormatting>
  <conditionalFormatting sqref="W104">
    <cfRule type="cellIs" dxfId="9634" priority="12443" operator="between">
      <formula>0.76</formula>
      <formula>0.95</formula>
    </cfRule>
    <cfRule type="cellIs" dxfId="9633" priority="12444" operator="between">
      <formula>0.51</formula>
      <formula>0.75</formula>
    </cfRule>
    <cfRule type="cellIs" dxfId="9632" priority="12445" operator="greaterThan">
      <formula>1</formula>
    </cfRule>
    <cfRule type="cellIs" dxfId="9631" priority="12446" operator="between">
      <formula>0.95</formula>
      <formula>1</formula>
    </cfRule>
    <cfRule type="cellIs" dxfId="9630" priority="12447" stopIfTrue="1" operator="between">
      <formula>0</formula>
      <formula>0.5</formula>
    </cfRule>
  </conditionalFormatting>
  <conditionalFormatting sqref="W106">
    <cfRule type="cellIs" dxfId="9629" priority="12433" operator="between">
      <formula>0.76</formula>
      <formula>0.95</formula>
    </cfRule>
    <cfRule type="cellIs" dxfId="9628" priority="12434" operator="between">
      <formula>0.51</formula>
      <formula>0.75</formula>
    </cfRule>
    <cfRule type="cellIs" dxfId="9627" priority="12435" operator="greaterThan">
      <formula>1</formula>
    </cfRule>
    <cfRule type="cellIs" dxfId="9626" priority="12436" operator="between">
      <formula>0.95</formula>
      <formula>1</formula>
    </cfRule>
    <cfRule type="cellIs" dxfId="9625" priority="12437" stopIfTrue="1" operator="between">
      <formula>0</formula>
      <formula>0.5</formula>
    </cfRule>
  </conditionalFormatting>
  <conditionalFormatting sqref="W159">
    <cfRule type="cellIs" dxfId="9624" priority="12188" operator="between">
      <formula>0.76</formula>
      <formula>0.95</formula>
    </cfRule>
    <cfRule type="cellIs" dxfId="9623" priority="12189" operator="between">
      <formula>0.51</formula>
      <formula>0.75</formula>
    </cfRule>
    <cfRule type="cellIs" dxfId="9622" priority="12190" operator="greaterThan">
      <formula>1</formula>
    </cfRule>
    <cfRule type="cellIs" dxfId="9621" priority="12191" operator="between">
      <formula>0.95</formula>
      <formula>1</formula>
    </cfRule>
    <cfRule type="cellIs" dxfId="9620" priority="12192" stopIfTrue="1" operator="between">
      <formula>0</formula>
      <formula>0.5</formula>
    </cfRule>
  </conditionalFormatting>
  <conditionalFormatting sqref="W108">
    <cfRule type="cellIs" dxfId="9619" priority="12423" operator="between">
      <formula>0.76</formula>
      <formula>0.95</formula>
    </cfRule>
    <cfRule type="cellIs" dxfId="9618" priority="12424" operator="between">
      <formula>0.51</formula>
      <formula>0.75</formula>
    </cfRule>
    <cfRule type="cellIs" dxfId="9617" priority="12425" operator="greaterThan">
      <formula>1</formula>
    </cfRule>
    <cfRule type="cellIs" dxfId="9616" priority="12426" operator="between">
      <formula>0.95</formula>
      <formula>1</formula>
    </cfRule>
    <cfRule type="cellIs" dxfId="9615" priority="12427" stopIfTrue="1" operator="between">
      <formula>0</formula>
      <formula>0.5</formula>
    </cfRule>
  </conditionalFormatting>
  <conditionalFormatting sqref="W109">
    <cfRule type="cellIs" dxfId="9614" priority="12418" operator="between">
      <formula>0.76</formula>
      <formula>0.95</formula>
    </cfRule>
    <cfRule type="cellIs" dxfId="9613" priority="12419" operator="between">
      <formula>0.51</formula>
      <formula>0.75</formula>
    </cfRule>
    <cfRule type="cellIs" dxfId="9612" priority="12420" operator="greaterThan">
      <formula>1</formula>
    </cfRule>
    <cfRule type="cellIs" dxfId="9611" priority="12421" operator="between">
      <formula>0.95</formula>
      <formula>1</formula>
    </cfRule>
    <cfRule type="cellIs" dxfId="9610" priority="12422" stopIfTrue="1" operator="between">
      <formula>0</formula>
      <formula>0.5</formula>
    </cfRule>
  </conditionalFormatting>
  <conditionalFormatting sqref="W110">
    <cfRule type="cellIs" dxfId="9609" priority="12413" operator="between">
      <formula>0.76</formula>
      <formula>0.95</formula>
    </cfRule>
    <cfRule type="cellIs" dxfId="9608" priority="12414" operator="between">
      <formula>0.51</formula>
      <formula>0.75</formula>
    </cfRule>
    <cfRule type="cellIs" dxfId="9607" priority="12415" operator="greaterThan">
      <formula>1</formula>
    </cfRule>
    <cfRule type="cellIs" dxfId="9606" priority="12416" operator="between">
      <formula>0.95</formula>
      <formula>1</formula>
    </cfRule>
    <cfRule type="cellIs" dxfId="9605" priority="12417" stopIfTrue="1" operator="between">
      <formula>0</formula>
      <formula>0.5</formula>
    </cfRule>
  </conditionalFormatting>
  <conditionalFormatting sqref="W111">
    <cfRule type="cellIs" dxfId="9604" priority="12408" operator="between">
      <formula>0.76</formula>
      <formula>0.95</formula>
    </cfRule>
    <cfRule type="cellIs" dxfId="9603" priority="12409" operator="between">
      <formula>0.51</formula>
      <formula>0.75</formula>
    </cfRule>
    <cfRule type="cellIs" dxfId="9602" priority="12410" operator="greaterThan">
      <formula>1</formula>
    </cfRule>
    <cfRule type="cellIs" dxfId="9601" priority="12411" operator="between">
      <formula>0.95</formula>
      <formula>1</formula>
    </cfRule>
    <cfRule type="cellIs" dxfId="9600" priority="12412" stopIfTrue="1" operator="between">
      <formula>0</formula>
      <formula>0.5</formula>
    </cfRule>
  </conditionalFormatting>
  <conditionalFormatting sqref="W112">
    <cfRule type="cellIs" dxfId="9599" priority="12403" operator="between">
      <formula>0.76</formula>
      <formula>0.95</formula>
    </cfRule>
    <cfRule type="cellIs" dxfId="9598" priority="12404" operator="between">
      <formula>0.51</formula>
      <formula>0.75</formula>
    </cfRule>
    <cfRule type="cellIs" dxfId="9597" priority="12405" operator="greaterThan">
      <formula>1</formula>
    </cfRule>
    <cfRule type="cellIs" dxfId="9596" priority="12406" operator="between">
      <formula>0.95</formula>
      <formula>1</formula>
    </cfRule>
    <cfRule type="cellIs" dxfId="9595" priority="12407" stopIfTrue="1" operator="between">
      <formula>0</formula>
      <formula>0.5</formula>
    </cfRule>
  </conditionalFormatting>
  <conditionalFormatting sqref="W114">
    <cfRule type="cellIs" dxfId="9594" priority="12398" operator="between">
      <formula>0.76</formula>
      <formula>0.95</formula>
    </cfRule>
    <cfRule type="cellIs" dxfId="9593" priority="12399" operator="between">
      <formula>0.51</formula>
      <formula>0.75</formula>
    </cfRule>
    <cfRule type="cellIs" dxfId="9592" priority="12400" operator="greaterThan">
      <formula>1</formula>
    </cfRule>
    <cfRule type="cellIs" dxfId="9591" priority="12401" operator="between">
      <formula>0.95</formula>
      <formula>1</formula>
    </cfRule>
    <cfRule type="cellIs" dxfId="9590" priority="12402" stopIfTrue="1" operator="between">
      <formula>0</formula>
      <formula>0.5</formula>
    </cfRule>
  </conditionalFormatting>
  <conditionalFormatting sqref="W115">
    <cfRule type="cellIs" dxfId="9589" priority="12393" operator="between">
      <formula>0.76</formula>
      <formula>0.95</formula>
    </cfRule>
    <cfRule type="cellIs" dxfId="9588" priority="12394" operator="between">
      <formula>0.51</formula>
      <formula>0.75</formula>
    </cfRule>
    <cfRule type="cellIs" dxfId="9587" priority="12395" operator="greaterThan">
      <formula>1</formula>
    </cfRule>
    <cfRule type="cellIs" dxfId="9586" priority="12396" operator="between">
      <formula>0.95</formula>
      <formula>1</formula>
    </cfRule>
    <cfRule type="cellIs" dxfId="9585" priority="12397" stopIfTrue="1" operator="between">
      <formula>0</formula>
      <formula>0.5</formula>
    </cfRule>
  </conditionalFormatting>
  <conditionalFormatting sqref="W116">
    <cfRule type="cellIs" dxfId="9584" priority="12388" operator="between">
      <formula>0.76</formula>
      <formula>0.95</formula>
    </cfRule>
    <cfRule type="cellIs" dxfId="9583" priority="12389" operator="between">
      <formula>0.51</formula>
      <formula>0.75</formula>
    </cfRule>
    <cfRule type="cellIs" dxfId="9582" priority="12390" operator="greaterThan">
      <formula>1</formula>
    </cfRule>
    <cfRule type="cellIs" dxfId="9581" priority="12391" operator="between">
      <formula>0.95</formula>
      <formula>1</formula>
    </cfRule>
    <cfRule type="cellIs" dxfId="9580" priority="12392" stopIfTrue="1" operator="between">
      <formula>0</formula>
      <formula>0.5</formula>
    </cfRule>
  </conditionalFormatting>
  <conditionalFormatting sqref="W117">
    <cfRule type="cellIs" dxfId="9579" priority="12378" operator="between">
      <formula>0.76</formula>
      <formula>0.95</formula>
    </cfRule>
    <cfRule type="cellIs" dxfId="9578" priority="12379" operator="between">
      <formula>0.51</formula>
      <formula>0.75</formula>
    </cfRule>
    <cfRule type="cellIs" dxfId="9577" priority="12380" operator="greaterThan">
      <formula>1</formula>
    </cfRule>
    <cfRule type="cellIs" dxfId="9576" priority="12381" operator="between">
      <formula>0.95</formula>
      <formula>1</formula>
    </cfRule>
    <cfRule type="cellIs" dxfId="9575" priority="12382" stopIfTrue="1" operator="between">
      <formula>0</formula>
      <formula>0.5</formula>
    </cfRule>
  </conditionalFormatting>
  <conditionalFormatting sqref="W121">
    <cfRule type="cellIs" dxfId="9574" priority="12373" operator="between">
      <formula>0.76</formula>
      <formula>0.95</formula>
    </cfRule>
    <cfRule type="cellIs" dxfId="9573" priority="12374" operator="between">
      <formula>0.51</formula>
      <formula>0.75</formula>
    </cfRule>
    <cfRule type="cellIs" dxfId="9572" priority="12375" operator="greaterThan">
      <formula>1</formula>
    </cfRule>
    <cfRule type="cellIs" dxfId="9571" priority="12376" operator="between">
      <formula>0.95</formula>
      <formula>1</formula>
    </cfRule>
    <cfRule type="cellIs" dxfId="9570" priority="12377" stopIfTrue="1" operator="between">
      <formula>0</formula>
      <formula>0.5</formula>
    </cfRule>
  </conditionalFormatting>
  <conditionalFormatting sqref="W122">
    <cfRule type="cellIs" dxfId="9569" priority="12368" operator="between">
      <formula>0.76</formula>
      <formula>0.95</formula>
    </cfRule>
    <cfRule type="cellIs" dxfId="9568" priority="12369" operator="between">
      <formula>0.51</formula>
      <formula>0.75</formula>
    </cfRule>
    <cfRule type="cellIs" dxfId="9567" priority="12370" operator="greaterThan">
      <formula>1</formula>
    </cfRule>
    <cfRule type="cellIs" dxfId="9566" priority="12371" operator="between">
      <formula>0.95</formula>
      <formula>1</formula>
    </cfRule>
    <cfRule type="cellIs" dxfId="9565" priority="12372" stopIfTrue="1" operator="between">
      <formula>0</formula>
      <formula>0.5</formula>
    </cfRule>
  </conditionalFormatting>
  <conditionalFormatting sqref="W123">
    <cfRule type="cellIs" dxfId="9564" priority="12363" operator="between">
      <formula>0.76</formula>
      <formula>0.95</formula>
    </cfRule>
    <cfRule type="cellIs" dxfId="9563" priority="12364" operator="between">
      <formula>0.51</formula>
      <formula>0.75</formula>
    </cfRule>
    <cfRule type="cellIs" dxfId="9562" priority="12365" operator="greaterThan">
      <formula>1</formula>
    </cfRule>
    <cfRule type="cellIs" dxfId="9561" priority="12366" operator="between">
      <formula>0.95</formula>
      <formula>1</formula>
    </cfRule>
    <cfRule type="cellIs" dxfId="9560" priority="12367" stopIfTrue="1" operator="between">
      <formula>0</formula>
      <formula>0.5</formula>
    </cfRule>
  </conditionalFormatting>
  <conditionalFormatting sqref="W124">
    <cfRule type="cellIs" dxfId="9559" priority="12358" operator="between">
      <formula>0.76</formula>
      <formula>0.95</formula>
    </cfRule>
    <cfRule type="cellIs" dxfId="9558" priority="12359" operator="between">
      <formula>0.51</formula>
      <formula>0.75</formula>
    </cfRule>
    <cfRule type="cellIs" dxfId="9557" priority="12360" operator="greaterThan">
      <formula>1</formula>
    </cfRule>
    <cfRule type="cellIs" dxfId="9556" priority="12361" operator="between">
      <formula>0.95</formula>
      <formula>1</formula>
    </cfRule>
    <cfRule type="cellIs" dxfId="9555" priority="12362" stopIfTrue="1" operator="between">
      <formula>0</formula>
      <formula>0.5</formula>
    </cfRule>
  </conditionalFormatting>
  <conditionalFormatting sqref="W125">
    <cfRule type="cellIs" dxfId="9554" priority="12353" operator="between">
      <formula>0.76</formula>
      <formula>0.95</formula>
    </cfRule>
    <cfRule type="cellIs" dxfId="9553" priority="12354" operator="between">
      <formula>0.51</formula>
      <formula>0.75</formula>
    </cfRule>
    <cfRule type="cellIs" dxfId="9552" priority="12355" operator="greaterThan">
      <formula>1</formula>
    </cfRule>
    <cfRule type="cellIs" dxfId="9551" priority="12356" operator="between">
      <formula>0.95</formula>
      <formula>1</formula>
    </cfRule>
    <cfRule type="cellIs" dxfId="9550" priority="12357" stopIfTrue="1" operator="between">
      <formula>0</formula>
      <formula>0.5</formula>
    </cfRule>
  </conditionalFormatting>
  <conditionalFormatting sqref="W126">
    <cfRule type="cellIs" dxfId="9549" priority="12348" operator="between">
      <formula>0.76</formula>
      <formula>0.95</formula>
    </cfRule>
    <cfRule type="cellIs" dxfId="9548" priority="12349" operator="between">
      <formula>0.51</formula>
      <formula>0.75</formula>
    </cfRule>
    <cfRule type="cellIs" dxfId="9547" priority="12350" operator="greaterThan">
      <formula>1</formula>
    </cfRule>
    <cfRule type="cellIs" dxfId="9546" priority="12351" operator="between">
      <formula>0.95</formula>
      <formula>1</formula>
    </cfRule>
    <cfRule type="cellIs" dxfId="9545" priority="12352" stopIfTrue="1" operator="between">
      <formula>0</formula>
      <formula>0.5</formula>
    </cfRule>
  </conditionalFormatting>
  <conditionalFormatting sqref="W127">
    <cfRule type="cellIs" dxfId="9544" priority="12343" operator="between">
      <formula>0.76</formula>
      <formula>0.95</formula>
    </cfRule>
    <cfRule type="cellIs" dxfId="9543" priority="12344" operator="between">
      <formula>0.51</formula>
      <formula>0.75</formula>
    </cfRule>
    <cfRule type="cellIs" dxfId="9542" priority="12345" operator="greaterThan">
      <formula>1</formula>
    </cfRule>
    <cfRule type="cellIs" dxfId="9541" priority="12346" operator="between">
      <formula>0.95</formula>
      <formula>1</formula>
    </cfRule>
    <cfRule type="cellIs" dxfId="9540" priority="12347" stopIfTrue="1" operator="between">
      <formula>0</formula>
      <formula>0.5</formula>
    </cfRule>
  </conditionalFormatting>
  <conditionalFormatting sqref="W128">
    <cfRule type="cellIs" dxfId="9539" priority="12338" operator="between">
      <formula>0.76</formula>
      <formula>0.95</formula>
    </cfRule>
    <cfRule type="cellIs" dxfId="9538" priority="12339" operator="between">
      <formula>0.51</formula>
      <formula>0.75</formula>
    </cfRule>
    <cfRule type="cellIs" dxfId="9537" priority="12340" operator="greaterThan">
      <formula>1</formula>
    </cfRule>
    <cfRule type="cellIs" dxfId="9536" priority="12341" operator="between">
      <formula>0.95</formula>
      <formula>1</formula>
    </cfRule>
    <cfRule type="cellIs" dxfId="9535" priority="12342" stopIfTrue="1" operator="between">
      <formula>0</formula>
      <formula>0.5</formula>
    </cfRule>
  </conditionalFormatting>
  <conditionalFormatting sqref="W129">
    <cfRule type="cellIs" dxfId="9534" priority="12333" operator="between">
      <formula>0.76</formula>
      <formula>0.95</formula>
    </cfRule>
    <cfRule type="cellIs" dxfId="9533" priority="12334" operator="between">
      <formula>0.51</formula>
      <formula>0.75</formula>
    </cfRule>
    <cfRule type="cellIs" dxfId="9532" priority="12335" operator="greaterThan">
      <formula>1</formula>
    </cfRule>
    <cfRule type="cellIs" dxfId="9531" priority="12336" operator="between">
      <formula>0.95</formula>
      <formula>1</formula>
    </cfRule>
    <cfRule type="cellIs" dxfId="9530" priority="12337" stopIfTrue="1" operator="between">
      <formula>0</formula>
      <formula>0.5</formula>
    </cfRule>
  </conditionalFormatting>
  <conditionalFormatting sqref="W130">
    <cfRule type="cellIs" dxfId="9529" priority="12328" operator="between">
      <formula>0.76</formula>
      <formula>0.95</formula>
    </cfRule>
    <cfRule type="cellIs" dxfId="9528" priority="12329" operator="between">
      <formula>0.51</formula>
      <formula>0.75</formula>
    </cfRule>
    <cfRule type="cellIs" dxfId="9527" priority="12330" operator="greaterThan">
      <formula>1</formula>
    </cfRule>
    <cfRule type="cellIs" dxfId="9526" priority="12331" operator="between">
      <formula>0.95</formula>
      <formula>1</formula>
    </cfRule>
    <cfRule type="cellIs" dxfId="9525" priority="12332" stopIfTrue="1" operator="between">
      <formula>0</formula>
      <formula>0.5</formula>
    </cfRule>
  </conditionalFormatting>
  <conditionalFormatting sqref="W131">
    <cfRule type="cellIs" dxfId="9524" priority="12323" operator="between">
      <formula>0.76</formula>
      <formula>0.95</formula>
    </cfRule>
    <cfRule type="cellIs" dxfId="9523" priority="12324" operator="between">
      <formula>0.51</formula>
      <formula>0.75</formula>
    </cfRule>
    <cfRule type="cellIs" dxfId="9522" priority="12325" operator="greaterThan">
      <formula>1</formula>
    </cfRule>
    <cfRule type="cellIs" dxfId="9521" priority="12326" operator="between">
      <formula>0.95</formula>
      <formula>1</formula>
    </cfRule>
    <cfRule type="cellIs" dxfId="9520" priority="12327" stopIfTrue="1" operator="between">
      <formula>0</formula>
      <formula>0.5</formula>
    </cfRule>
  </conditionalFormatting>
  <conditionalFormatting sqref="W132">
    <cfRule type="cellIs" dxfId="9519" priority="12318" operator="between">
      <formula>0.76</formula>
      <formula>0.95</formula>
    </cfRule>
    <cfRule type="cellIs" dxfId="9518" priority="12319" operator="between">
      <formula>0.51</formula>
      <formula>0.75</formula>
    </cfRule>
    <cfRule type="cellIs" dxfId="9517" priority="12320" operator="greaterThan">
      <formula>1</formula>
    </cfRule>
    <cfRule type="cellIs" dxfId="9516" priority="12321" operator="between">
      <formula>0.95</formula>
      <formula>1</formula>
    </cfRule>
    <cfRule type="cellIs" dxfId="9515" priority="12322" stopIfTrue="1" operator="between">
      <formula>0</formula>
      <formula>0.5</formula>
    </cfRule>
  </conditionalFormatting>
  <conditionalFormatting sqref="W133">
    <cfRule type="cellIs" dxfId="9514" priority="12313" operator="between">
      <formula>0.76</formula>
      <formula>0.95</formula>
    </cfRule>
    <cfRule type="cellIs" dxfId="9513" priority="12314" operator="between">
      <formula>0.51</formula>
      <formula>0.75</formula>
    </cfRule>
    <cfRule type="cellIs" dxfId="9512" priority="12315" operator="greaterThan">
      <formula>1</formula>
    </cfRule>
    <cfRule type="cellIs" dxfId="9511" priority="12316" operator="between">
      <formula>0.95</formula>
      <formula>1</formula>
    </cfRule>
    <cfRule type="cellIs" dxfId="9510" priority="12317" stopIfTrue="1" operator="between">
      <formula>0</formula>
      <formula>0.5</formula>
    </cfRule>
  </conditionalFormatting>
  <conditionalFormatting sqref="W134">
    <cfRule type="cellIs" dxfId="9509" priority="12308" operator="between">
      <formula>0.76</formula>
      <formula>0.95</formula>
    </cfRule>
    <cfRule type="cellIs" dxfId="9508" priority="12309" operator="between">
      <formula>0.51</formula>
      <formula>0.75</formula>
    </cfRule>
    <cfRule type="cellIs" dxfId="9507" priority="12310" operator="greaterThan">
      <formula>1</formula>
    </cfRule>
    <cfRule type="cellIs" dxfId="9506" priority="12311" operator="between">
      <formula>0.95</formula>
      <formula>1</formula>
    </cfRule>
    <cfRule type="cellIs" dxfId="9505" priority="12312" stopIfTrue="1" operator="between">
      <formula>0</formula>
      <formula>0.5</formula>
    </cfRule>
  </conditionalFormatting>
  <conditionalFormatting sqref="W135">
    <cfRule type="cellIs" dxfId="9504" priority="12303" operator="between">
      <formula>0.76</formula>
      <formula>0.95</formula>
    </cfRule>
    <cfRule type="cellIs" dxfId="9503" priority="12304" operator="between">
      <formula>0.51</formula>
      <formula>0.75</formula>
    </cfRule>
    <cfRule type="cellIs" dxfId="9502" priority="12305" operator="greaterThan">
      <formula>1</formula>
    </cfRule>
    <cfRule type="cellIs" dxfId="9501" priority="12306" operator="between">
      <formula>0.95</formula>
      <formula>1</formula>
    </cfRule>
    <cfRule type="cellIs" dxfId="9500" priority="12307" stopIfTrue="1" operator="between">
      <formula>0</formula>
      <formula>0.5</formula>
    </cfRule>
  </conditionalFormatting>
  <conditionalFormatting sqref="W136">
    <cfRule type="cellIs" dxfId="9499" priority="12298" operator="between">
      <formula>0.76</formula>
      <formula>0.95</formula>
    </cfRule>
    <cfRule type="cellIs" dxfId="9498" priority="12299" operator="between">
      <formula>0.51</formula>
      <formula>0.75</formula>
    </cfRule>
    <cfRule type="cellIs" dxfId="9497" priority="12300" operator="greaterThan">
      <formula>1</formula>
    </cfRule>
    <cfRule type="cellIs" dxfId="9496" priority="12301" operator="between">
      <formula>0.95</formula>
      <formula>1</formula>
    </cfRule>
    <cfRule type="cellIs" dxfId="9495" priority="12302" stopIfTrue="1" operator="between">
      <formula>0</formula>
      <formula>0.5</formula>
    </cfRule>
  </conditionalFormatting>
  <conditionalFormatting sqref="W137">
    <cfRule type="cellIs" dxfId="9494" priority="12293" operator="between">
      <formula>0.76</formula>
      <formula>0.95</formula>
    </cfRule>
    <cfRule type="cellIs" dxfId="9493" priority="12294" operator="between">
      <formula>0.51</formula>
      <formula>0.75</formula>
    </cfRule>
    <cfRule type="cellIs" dxfId="9492" priority="12295" operator="greaterThan">
      <formula>1</formula>
    </cfRule>
    <cfRule type="cellIs" dxfId="9491" priority="12296" operator="between">
      <formula>0.95</formula>
      <formula>1</formula>
    </cfRule>
    <cfRule type="cellIs" dxfId="9490" priority="12297" stopIfTrue="1" operator="between">
      <formula>0</formula>
      <formula>0.5</formula>
    </cfRule>
  </conditionalFormatting>
  <conditionalFormatting sqref="W138">
    <cfRule type="cellIs" dxfId="9489" priority="12288" operator="between">
      <formula>0.76</formula>
      <formula>0.95</formula>
    </cfRule>
    <cfRule type="cellIs" dxfId="9488" priority="12289" operator="between">
      <formula>0.51</formula>
      <formula>0.75</formula>
    </cfRule>
    <cfRule type="cellIs" dxfId="9487" priority="12290" operator="greaterThan">
      <formula>1</formula>
    </cfRule>
    <cfRule type="cellIs" dxfId="9486" priority="12291" operator="between">
      <formula>0.95</formula>
      <formula>1</formula>
    </cfRule>
    <cfRule type="cellIs" dxfId="9485" priority="12292" stopIfTrue="1" operator="between">
      <formula>0</formula>
      <formula>0.5</formula>
    </cfRule>
  </conditionalFormatting>
  <conditionalFormatting sqref="W139">
    <cfRule type="cellIs" dxfId="9484" priority="12283" operator="between">
      <formula>0.76</formula>
      <formula>0.95</formula>
    </cfRule>
    <cfRule type="cellIs" dxfId="9483" priority="12284" operator="between">
      <formula>0.51</formula>
      <formula>0.75</formula>
    </cfRule>
    <cfRule type="cellIs" dxfId="9482" priority="12285" operator="greaterThan">
      <formula>1</formula>
    </cfRule>
    <cfRule type="cellIs" dxfId="9481" priority="12286" operator="between">
      <formula>0.95</formula>
      <formula>1</formula>
    </cfRule>
    <cfRule type="cellIs" dxfId="9480" priority="12287" stopIfTrue="1" operator="between">
      <formula>0</formula>
      <formula>0.5</formula>
    </cfRule>
  </conditionalFormatting>
  <conditionalFormatting sqref="W140">
    <cfRule type="cellIs" dxfId="9479" priority="12278" operator="between">
      <formula>0.76</formula>
      <formula>0.95</formula>
    </cfRule>
    <cfRule type="cellIs" dxfId="9478" priority="12279" operator="between">
      <formula>0.51</formula>
      <formula>0.75</formula>
    </cfRule>
    <cfRule type="cellIs" dxfId="9477" priority="12280" operator="greaterThan">
      <formula>1</formula>
    </cfRule>
    <cfRule type="cellIs" dxfId="9476" priority="12281" operator="between">
      <formula>0.95</formula>
      <formula>1</formula>
    </cfRule>
    <cfRule type="cellIs" dxfId="9475" priority="12282" stopIfTrue="1" operator="between">
      <formula>0</formula>
      <formula>0.5</formula>
    </cfRule>
  </conditionalFormatting>
  <conditionalFormatting sqref="W142">
    <cfRule type="cellIs" dxfId="9474" priority="12273" operator="between">
      <formula>0.76</formula>
      <formula>0.95</formula>
    </cfRule>
    <cfRule type="cellIs" dxfId="9473" priority="12274" operator="between">
      <formula>0.51</formula>
      <formula>0.75</formula>
    </cfRule>
    <cfRule type="cellIs" dxfId="9472" priority="12275" operator="greaterThan">
      <formula>1</formula>
    </cfRule>
    <cfRule type="cellIs" dxfId="9471" priority="12276" operator="between">
      <formula>0.95</formula>
      <formula>1</formula>
    </cfRule>
    <cfRule type="cellIs" dxfId="9470" priority="12277" stopIfTrue="1" operator="between">
      <formula>0</formula>
      <formula>0.5</formula>
    </cfRule>
  </conditionalFormatting>
  <conditionalFormatting sqref="W143">
    <cfRule type="cellIs" dxfId="9469" priority="12268" operator="between">
      <formula>0.76</formula>
      <formula>0.95</formula>
    </cfRule>
    <cfRule type="cellIs" dxfId="9468" priority="12269" operator="between">
      <formula>0.51</formula>
      <formula>0.75</formula>
    </cfRule>
    <cfRule type="cellIs" dxfId="9467" priority="12270" operator="greaterThan">
      <formula>1</formula>
    </cfRule>
    <cfRule type="cellIs" dxfId="9466" priority="12271" operator="between">
      <formula>0.95</formula>
      <formula>1</formula>
    </cfRule>
    <cfRule type="cellIs" dxfId="9465" priority="12272" stopIfTrue="1" operator="between">
      <formula>0</formula>
      <formula>0.5</formula>
    </cfRule>
  </conditionalFormatting>
  <conditionalFormatting sqref="W144">
    <cfRule type="cellIs" dxfId="9464" priority="12263" operator="between">
      <formula>0.76</formula>
      <formula>0.95</formula>
    </cfRule>
    <cfRule type="cellIs" dxfId="9463" priority="12264" operator="between">
      <formula>0.51</formula>
      <formula>0.75</formula>
    </cfRule>
    <cfRule type="cellIs" dxfId="9462" priority="12265" operator="greaterThan">
      <formula>1</formula>
    </cfRule>
    <cfRule type="cellIs" dxfId="9461" priority="12266" operator="between">
      <formula>0.95</formula>
      <formula>1</formula>
    </cfRule>
    <cfRule type="cellIs" dxfId="9460" priority="12267" stopIfTrue="1" operator="between">
      <formula>0</formula>
      <formula>0.5</formula>
    </cfRule>
  </conditionalFormatting>
  <conditionalFormatting sqref="W145">
    <cfRule type="cellIs" dxfId="9459" priority="12258" operator="between">
      <formula>0.76</formula>
      <formula>0.95</formula>
    </cfRule>
    <cfRule type="cellIs" dxfId="9458" priority="12259" operator="between">
      <formula>0.51</formula>
      <formula>0.75</formula>
    </cfRule>
    <cfRule type="cellIs" dxfId="9457" priority="12260" operator="greaterThan">
      <formula>1</formula>
    </cfRule>
    <cfRule type="cellIs" dxfId="9456" priority="12261" operator="between">
      <formula>0.95</formula>
      <formula>1</formula>
    </cfRule>
    <cfRule type="cellIs" dxfId="9455" priority="12262" stopIfTrue="1" operator="between">
      <formula>0</formula>
      <formula>0.5</formula>
    </cfRule>
  </conditionalFormatting>
  <conditionalFormatting sqref="W146">
    <cfRule type="cellIs" dxfId="9454" priority="12253" operator="between">
      <formula>0.76</formula>
      <formula>0.95</formula>
    </cfRule>
    <cfRule type="cellIs" dxfId="9453" priority="12254" operator="between">
      <formula>0.51</formula>
      <formula>0.75</formula>
    </cfRule>
    <cfRule type="cellIs" dxfId="9452" priority="12255" operator="greaterThan">
      <formula>1</formula>
    </cfRule>
    <cfRule type="cellIs" dxfId="9451" priority="12256" operator="between">
      <formula>0.95</formula>
      <formula>1</formula>
    </cfRule>
    <cfRule type="cellIs" dxfId="9450" priority="12257" stopIfTrue="1" operator="between">
      <formula>0</formula>
      <formula>0.5</formula>
    </cfRule>
  </conditionalFormatting>
  <conditionalFormatting sqref="W147">
    <cfRule type="cellIs" dxfId="9449" priority="12248" operator="between">
      <formula>0.76</formula>
      <formula>0.95</formula>
    </cfRule>
    <cfRule type="cellIs" dxfId="9448" priority="12249" operator="between">
      <formula>0.51</formula>
      <formula>0.75</formula>
    </cfRule>
    <cfRule type="cellIs" dxfId="9447" priority="12250" operator="greaterThan">
      <formula>1</formula>
    </cfRule>
    <cfRule type="cellIs" dxfId="9446" priority="12251" operator="between">
      <formula>0.95</formula>
      <formula>1</formula>
    </cfRule>
    <cfRule type="cellIs" dxfId="9445" priority="12252" stopIfTrue="1" operator="between">
      <formula>0</formula>
      <formula>0.5</formula>
    </cfRule>
  </conditionalFormatting>
  <conditionalFormatting sqref="W148">
    <cfRule type="cellIs" dxfId="9444" priority="12243" operator="between">
      <formula>0.76</formula>
      <formula>0.95</formula>
    </cfRule>
    <cfRule type="cellIs" dxfId="9443" priority="12244" operator="between">
      <formula>0.51</formula>
      <formula>0.75</formula>
    </cfRule>
    <cfRule type="cellIs" dxfId="9442" priority="12245" operator="greaterThan">
      <formula>1</formula>
    </cfRule>
    <cfRule type="cellIs" dxfId="9441" priority="12246" operator="between">
      <formula>0.95</formula>
      <formula>1</formula>
    </cfRule>
    <cfRule type="cellIs" dxfId="9440" priority="12247" stopIfTrue="1" operator="between">
      <formula>0</formula>
      <formula>0.5</formula>
    </cfRule>
  </conditionalFormatting>
  <conditionalFormatting sqref="W150">
    <cfRule type="cellIs" dxfId="9439" priority="12238" operator="between">
      <formula>0.76</formula>
      <formula>0.95</formula>
    </cfRule>
    <cfRule type="cellIs" dxfId="9438" priority="12239" operator="between">
      <formula>0.51</formula>
      <formula>0.75</formula>
    </cfRule>
    <cfRule type="cellIs" dxfId="9437" priority="12240" operator="greaterThan">
      <formula>1</formula>
    </cfRule>
    <cfRule type="cellIs" dxfId="9436" priority="12241" operator="between">
      <formula>0.95</formula>
      <formula>1</formula>
    </cfRule>
    <cfRule type="cellIs" dxfId="9435" priority="12242" stopIfTrue="1" operator="between">
      <formula>0</formula>
      <formula>0.5</formula>
    </cfRule>
  </conditionalFormatting>
  <conditionalFormatting sqref="W149">
    <cfRule type="cellIs" dxfId="9434" priority="12233" operator="between">
      <formula>0.76</formula>
      <formula>0.95</formula>
    </cfRule>
    <cfRule type="cellIs" dxfId="9433" priority="12234" operator="between">
      <formula>0.51</formula>
      <formula>0.75</formula>
    </cfRule>
    <cfRule type="cellIs" dxfId="9432" priority="12235" operator="greaterThan">
      <formula>1</formula>
    </cfRule>
    <cfRule type="cellIs" dxfId="9431" priority="12236" operator="between">
      <formula>0.95</formula>
      <formula>1</formula>
    </cfRule>
    <cfRule type="cellIs" dxfId="9430" priority="12237" stopIfTrue="1" operator="between">
      <formula>0</formula>
      <formula>0.5</formula>
    </cfRule>
  </conditionalFormatting>
  <conditionalFormatting sqref="W151">
    <cfRule type="cellIs" dxfId="9429" priority="12228" operator="between">
      <formula>0.76</formula>
      <formula>0.95</formula>
    </cfRule>
    <cfRule type="cellIs" dxfId="9428" priority="12229" operator="between">
      <formula>0.51</formula>
      <formula>0.75</formula>
    </cfRule>
    <cfRule type="cellIs" dxfId="9427" priority="12230" operator="greaterThan">
      <formula>1</formula>
    </cfRule>
    <cfRule type="cellIs" dxfId="9426" priority="12231" operator="between">
      <formula>0.95</formula>
      <formula>1</formula>
    </cfRule>
    <cfRule type="cellIs" dxfId="9425" priority="12232" stopIfTrue="1" operator="between">
      <formula>0</formula>
      <formula>0.5</formula>
    </cfRule>
  </conditionalFormatting>
  <conditionalFormatting sqref="W152">
    <cfRule type="cellIs" dxfId="9424" priority="12223" operator="between">
      <formula>0.76</formula>
      <formula>0.95</formula>
    </cfRule>
    <cfRule type="cellIs" dxfId="9423" priority="12224" operator="between">
      <formula>0.51</formula>
      <formula>0.75</formula>
    </cfRule>
    <cfRule type="cellIs" dxfId="9422" priority="12225" operator="greaterThan">
      <formula>1</formula>
    </cfRule>
    <cfRule type="cellIs" dxfId="9421" priority="12226" operator="between">
      <formula>0.95</formula>
      <formula>1</formula>
    </cfRule>
    <cfRule type="cellIs" dxfId="9420" priority="12227" stopIfTrue="1" operator="between">
      <formula>0</formula>
      <formula>0.5</formula>
    </cfRule>
  </conditionalFormatting>
  <conditionalFormatting sqref="W153">
    <cfRule type="cellIs" dxfId="9419" priority="12218" operator="between">
      <formula>0.76</formula>
      <formula>0.95</formula>
    </cfRule>
    <cfRule type="cellIs" dxfId="9418" priority="12219" operator="between">
      <formula>0.51</formula>
      <formula>0.75</formula>
    </cfRule>
    <cfRule type="cellIs" dxfId="9417" priority="12220" operator="greaterThan">
      <formula>1</formula>
    </cfRule>
    <cfRule type="cellIs" dxfId="9416" priority="12221" operator="between">
      <formula>0.95</formula>
      <formula>1</formula>
    </cfRule>
    <cfRule type="cellIs" dxfId="9415" priority="12222" stopIfTrue="1" operator="between">
      <formula>0</formula>
      <formula>0.5</formula>
    </cfRule>
  </conditionalFormatting>
  <conditionalFormatting sqref="W154">
    <cfRule type="cellIs" dxfId="9414" priority="12213" operator="between">
      <formula>0.76</formula>
      <formula>0.95</formula>
    </cfRule>
    <cfRule type="cellIs" dxfId="9413" priority="12214" operator="between">
      <formula>0.51</formula>
      <formula>0.75</formula>
    </cfRule>
    <cfRule type="cellIs" dxfId="9412" priority="12215" operator="greaterThan">
      <formula>1</formula>
    </cfRule>
    <cfRule type="cellIs" dxfId="9411" priority="12216" operator="between">
      <formula>0.95</formula>
      <formula>1</formula>
    </cfRule>
    <cfRule type="cellIs" dxfId="9410" priority="12217" stopIfTrue="1" operator="between">
      <formula>0</formula>
      <formula>0.5</formula>
    </cfRule>
  </conditionalFormatting>
  <conditionalFormatting sqref="W155">
    <cfRule type="cellIs" dxfId="9409" priority="12208" operator="between">
      <formula>0.76</formula>
      <formula>0.95</formula>
    </cfRule>
    <cfRule type="cellIs" dxfId="9408" priority="12209" operator="between">
      <formula>0.51</formula>
      <formula>0.75</formula>
    </cfRule>
    <cfRule type="cellIs" dxfId="9407" priority="12210" operator="greaterThan">
      <formula>1</formula>
    </cfRule>
    <cfRule type="cellIs" dxfId="9406" priority="12211" operator="between">
      <formula>0.95</formula>
      <formula>1</formula>
    </cfRule>
    <cfRule type="cellIs" dxfId="9405" priority="12212" stopIfTrue="1" operator="between">
      <formula>0</formula>
      <formula>0.5</formula>
    </cfRule>
  </conditionalFormatting>
  <conditionalFormatting sqref="W156">
    <cfRule type="cellIs" dxfId="9404" priority="12203" operator="between">
      <formula>0.76</formula>
      <formula>0.95</formula>
    </cfRule>
    <cfRule type="cellIs" dxfId="9403" priority="12204" operator="between">
      <formula>0.51</formula>
      <formula>0.75</formula>
    </cfRule>
    <cfRule type="cellIs" dxfId="9402" priority="12205" operator="greaterThan">
      <formula>1</formula>
    </cfRule>
    <cfRule type="cellIs" dxfId="9401" priority="12206" operator="between">
      <formula>0.95</formula>
      <formula>1</formula>
    </cfRule>
    <cfRule type="cellIs" dxfId="9400" priority="12207" stopIfTrue="1" operator="between">
      <formula>0</formula>
      <formula>0.5</formula>
    </cfRule>
  </conditionalFormatting>
  <conditionalFormatting sqref="W157">
    <cfRule type="cellIs" dxfId="9399" priority="12198" operator="between">
      <formula>0.76</formula>
      <formula>0.95</formula>
    </cfRule>
    <cfRule type="cellIs" dxfId="9398" priority="12199" operator="between">
      <formula>0.51</formula>
      <formula>0.75</formula>
    </cfRule>
    <cfRule type="cellIs" dxfId="9397" priority="12200" operator="greaterThan">
      <formula>1</formula>
    </cfRule>
    <cfRule type="cellIs" dxfId="9396" priority="12201" operator="between">
      <formula>0.95</formula>
      <formula>1</formula>
    </cfRule>
    <cfRule type="cellIs" dxfId="9395" priority="12202" stopIfTrue="1" operator="between">
      <formula>0</formula>
      <formula>0.5</formula>
    </cfRule>
  </conditionalFormatting>
  <conditionalFormatting sqref="W158">
    <cfRule type="cellIs" dxfId="9394" priority="12193" operator="between">
      <formula>0.76</formula>
      <formula>0.95</formula>
    </cfRule>
    <cfRule type="cellIs" dxfId="9393" priority="12194" operator="between">
      <formula>0.51</formula>
      <formula>0.75</formula>
    </cfRule>
    <cfRule type="cellIs" dxfId="9392" priority="12195" operator="greaterThan">
      <formula>1</formula>
    </cfRule>
    <cfRule type="cellIs" dxfId="9391" priority="12196" operator="between">
      <formula>0.95</formula>
      <formula>1</formula>
    </cfRule>
    <cfRule type="cellIs" dxfId="9390" priority="12197" stopIfTrue="1" operator="between">
      <formula>0</formula>
      <formula>0.5</formula>
    </cfRule>
  </conditionalFormatting>
  <conditionalFormatting sqref="W160">
    <cfRule type="cellIs" dxfId="9389" priority="12183" operator="between">
      <formula>0.76</formula>
      <formula>0.95</formula>
    </cfRule>
    <cfRule type="cellIs" dxfId="9388" priority="12184" operator="between">
      <formula>0.51</formula>
      <formula>0.75</formula>
    </cfRule>
    <cfRule type="cellIs" dxfId="9387" priority="12185" operator="greaterThan">
      <formula>1</formula>
    </cfRule>
    <cfRule type="cellIs" dxfId="9386" priority="12186" operator="between">
      <formula>0.95</formula>
      <formula>1</formula>
    </cfRule>
    <cfRule type="cellIs" dxfId="9385" priority="12187" stopIfTrue="1" operator="between">
      <formula>0</formula>
      <formula>0.5</formula>
    </cfRule>
  </conditionalFormatting>
  <conditionalFormatting sqref="W161">
    <cfRule type="cellIs" dxfId="9384" priority="12178" operator="between">
      <formula>0.76</formula>
      <formula>0.95</formula>
    </cfRule>
    <cfRule type="cellIs" dxfId="9383" priority="12179" operator="between">
      <formula>0.51</formula>
      <formula>0.75</formula>
    </cfRule>
    <cfRule type="cellIs" dxfId="9382" priority="12180" operator="greaterThan">
      <formula>1</formula>
    </cfRule>
    <cfRule type="cellIs" dxfId="9381" priority="12181" operator="between">
      <formula>0.95</formula>
      <formula>1</formula>
    </cfRule>
    <cfRule type="cellIs" dxfId="9380" priority="12182" stopIfTrue="1" operator="between">
      <formula>0</formula>
      <formula>0.5</formula>
    </cfRule>
  </conditionalFormatting>
  <conditionalFormatting sqref="W162">
    <cfRule type="cellIs" dxfId="9379" priority="12173" operator="between">
      <formula>0.76</formula>
      <formula>0.95</formula>
    </cfRule>
    <cfRule type="cellIs" dxfId="9378" priority="12174" operator="between">
      <formula>0.51</formula>
      <formula>0.75</formula>
    </cfRule>
    <cfRule type="cellIs" dxfId="9377" priority="12175" operator="greaterThan">
      <formula>1</formula>
    </cfRule>
    <cfRule type="cellIs" dxfId="9376" priority="12176" operator="between">
      <formula>0.95</formula>
      <formula>1</formula>
    </cfRule>
    <cfRule type="cellIs" dxfId="9375" priority="12177" stopIfTrue="1" operator="between">
      <formula>0</formula>
      <formula>0.5</formula>
    </cfRule>
  </conditionalFormatting>
  <conditionalFormatting sqref="W163">
    <cfRule type="cellIs" dxfId="9374" priority="12168" operator="between">
      <formula>0.76</formula>
      <formula>0.95</formula>
    </cfRule>
    <cfRule type="cellIs" dxfId="9373" priority="12169" operator="between">
      <formula>0.51</formula>
      <formula>0.75</formula>
    </cfRule>
    <cfRule type="cellIs" dxfId="9372" priority="12170" operator="greaterThan">
      <formula>1</formula>
    </cfRule>
    <cfRule type="cellIs" dxfId="9371" priority="12171" operator="between">
      <formula>0.95</formula>
      <formula>1</formula>
    </cfRule>
    <cfRule type="cellIs" dxfId="9370" priority="12172" stopIfTrue="1" operator="between">
      <formula>0</formula>
      <formula>0.5</formula>
    </cfRule>
  </conditionalFormatting>
  <conditionalFormatting sqref="W164">
    <cfRule type="cellIs" dxfId="9369" priority="12163" operator="between">
      <formula>0.76</formula>
      <formula>0.95</formula>
    </cfRule>
    <cfRule type="cellIs" dxfId="9368" priority="12164" operator="between">
      <formula>0.51</formula>
      <formula>0.75</formula>
    </cfRule>
    <cfRule type="cellIs" dxfId="9367" priority="12165" operator="greaterThan">
      <formula>1</formula>
    </cfRule>
    <cfRule type="cellIs" dxfId="9366" priority="12166" operator="between">
      <formula>0.95</formula>
      <formula>1</formula>
    </cfRule>
    <cfRule type="cellIs" dxfId="9365" priority="12167" stopIfTrue="1" operator="between">
      <formula>0</formula>
      <formula>0.5</formula>
    </cfRule>
  </conditionalFormatting>
  <conditionalFormatting sqref="W165">
    <cfRule type="cellIs" dxfId="9364" priority="12158" operator="between">
      <formula>0.76</formula>
      <formula>0.95</formula>
    </cfRule>
    <cfRule type="cellIs" dxfId="9363" priority="12159" operator="between">
      <formula>0.51</formula>
      <formula>0.75</formula>
    </cfRule>
    <cfRule type="cellIs" dxfId="9362" priority="12160" operator="greaterThan">
      <formula>1</formula>
    </cfRule>
    <cfRule type="cellIs" dxfId="9361" priority="12161" operator="between">
      <formula>0.95</formula>
      <formula>1</formula>
    </cfRule>
    <cfRule type="cellIs" dxfId="9360" priority="12162" stopIfTrue="1" operator="between">
      <formula>0</formula>
      <formula>0.5</formula>
    </cfRule>
  </conditionalFormatting>
  <conditionalFormatting sqref="W166">
    <cfRule type="cellIs" dxfId="9359" priority="12153" operator="between">
      <formula>0.76</formula>
      <formula>0.95</formula>
    </cfRule>
    <cfRule type="cellIs" dxfId="9358" priority="12154" operator="between">
      <formula>0.51</formula>
      <formula>0.75</formula>
    </cfRule>
    <cfRule type="cellIs" dxfId="9357" priority="12155" operator="greaterThan">
      <formula>1</formula>
    </cfRule>
    <cfRule type="cellIs" dxfId="9356" priority="12156" operator="between">
      <formula>0.95</formula>
      <formula>1</formula>
    </cfRule>
    <cfRule type="cellIs" dxfId="9355" priority="12157" stopIfTrue="1" operator="between">
      <formula>0</formula>
      <formula>0.5</formula>
    </cfRule>
  </conditionalFormatting>
  <conditionalFormatting sqref="W167">
    <cfRule type="cellIs" dxfId="9354" priority="12148" operator="between">
      <formula>0.76</formula>
      <formula>0.95</formula>
    </cfRule>
    <cfRule type="cellIs" dxfId="9353" priority="12149" operator="between">
      <formula>0.51</formula>
      <formula>0.75</formula>
    </cfRule>
    <cfRule type="cellIs" dxfId="9352" priority="12150" operator="greaterThan">
      <formula>1</formula>
    </cfRule>
    <cfRule type="cellIs" dxfId="9351" priority="12151" operator="between">
      <formula>0.95</formula>
      <formula>1</formula>
    </cfRule>
    <cfRule type="cellIs" dxfId="9350" priority="12152" stopIfTrue="1" operator="between">
      <formula>0</formula>
      <formula>0.5</formula>
    </cfRule>
  </conditionalFormatting>
  <conditionalFormatting sqref="W168">
    <cfRule type="cellIs" dxfId="9349" priority="12143" operator="between">
      <formula>0.76</formula>
      <formula>0.95</formula>
    </cfRule>
    <cfRule type="cellIs" dxfId="9348" priority="12144" operator="between">
      <formula>0.51</formula>
      <formula>0.75</formula>
    </cfRule>
    <cfRule type="cellIs" dxfId="9347" priority="12145" operator="greaterThan">
      <formula>1</formula>
    </cfRule>
    <cfRule type="cellIs" dxfId="9346" priority="12146" operator="between">
      <formula>0.95</formula>
      <formula>1</formula>
    </cfRule>
    <cfRule type="cellIs" dxfId="9345" priority="12147" stopIfTrue="1" operator="between">
      <formula>0</formula>
      <formula>0.5</formula>
    </cfRule>
  </conditionalFormatting>
  <conditionalFormatting sqref="W169">
    <cfRule type="cellIs" dxfId="9344" priority="12138" operator="between">
      <formula>0.76</formula>
      <formula>0.95</formula>
    </cfRule>
    <cfRule type="cellIs" dxfId="9343" priority="12139" operator="between">
      <formula>0.51</formula>
      <formula>0.75</formula>
    </cfRule>
    <cfRule type="cellIs" dxfId="9342" priority="12140" operator="greaterThan">
      <formula>1</formula>
    </cfRule>
    <cfRule type="cellIs" dxfId="9341" priority="12141" operator="between">
      <formula>0.95</formula>
      <formula>1</formula>
    </cfRule>
    <cfRule type="cellIs" dxfId="9340" priority="12142" stopIfTrue="1" operator="between">
      <formula>0</formula>
      <formula>0.5</formula>
    </cfRule>
  </conditionalFormatting>
  <conditionalFormatting sqref="W170">
    <cfRule type="cellIs" dxfId="9339" priority="12133" operator="between">
      <formula>0.76</formula>
      <formula>0.95</formula>
    </cfRule>
    <cfRule type="cellIs" dxfId="9338" priority="12134" operator="between">
      <formula>0.51</formula>
      <formula>0.75</formula>
    </cfRule>
    <cfRule type="cellIs" dxfId="9337" priority="12135" operator="greaterThan">
      <formula>1</formula>
    </cfRule>
    <cfRule type="cellIs" dxfId="9336" priority="12136" operator="between">
      <formula>0.95</formula>
      <formula>1</formula>
    </cfRule>
    <cfRule type="cellIs" dxfId="9335" priority="12137" stopIfTrue="1" operator="between">
      <formula>0</formula>
      <formula>0.5</formula>
    </cfRule>
  </conditionalFormatting>
  <conditionalFormatting sqref="W171">
    <cfRule type="cellIs" dxfId="9334" priority="12128" operator="between">
      <formula>0.76</formula>
      <formula>0.95</formula>
    </cfRule>
    <cfRule type="cellIs" dxfId="9333" priority="12129" operator="between">
      <formula>0.51</formula>
      <formula>0.75</formula>
    </cfRule>
    <cfRule type="cellIs" dxfId="9332" priority="12130" operator="greaterThan">
      <formula>1</formula>
    </cfRule>
    <cfRule type="cellIs" dxfId="9331" priority="12131" operator="between">
      <formula>0.95</formula>
      <formula>1</formula>
    </cfRule>
    <cfRule type="cellIs" dxfId="9330" priority="12132" stopIfTrue="1" operator="between">
      <formula>0</formula>
      <formula>0.5</formula>
    </cfRule>
  </conditionalFormatting>
  <conditionalFormatting sqref="W172">
    <cfRule type="cellIs" dxfId="9329" priority="12123" operator="between">
      <formula>0.76</formula>
      <formula>0.95</formula>
    </cfRule>
    <cfRule type="cellIs" dxfId="9328" priority="12124" operator="between">
      <formula>0.51</formula>
      <formula>0.75</formula>
    </cfRule>
    <cfRule type="cellIs" dxfId="9327" priority="12125" operator="greaterThan">
      <formula>1</formula>
    </cfRule>
    <cfRule type="cellIs" dxfId="9326" priority="12126" operator="between">
      <formula>0.95</formula>
      <formula>1</formula>
    </cfRule>
    <cfRule type="cellIs" dxfId="9325" priority="12127" stopIfTrue="1" operator="between">
      <formula>0</formula>
      <formula>0.5</formula>
    </cfRule>
  </conditionalFormatting>
  <conditionalFormatting sqref="W174">
    <cfRule type="cellIs" dxfId="9324" priority="12118" operator="between">
      <formula>0.76</formula>
      <formula>0.95</formula>
    </cfRule>
    <cfRule type="cellIs" dxfId="9323" priority="12119" operator="between">
      <formula>0.51</formula>
      <formula>0.75</formula>
    </cfRule>
    <cfRule type="cellIs" dxfId="9322" priority="12120" operator="greaterThan">
      <formula>1</formula>
    </cfRule>
    <cfRule type="cellIs" dxfId="9321" priority="12121" operator="between">
      <formula>0.95</formula>
      <formula>1</formula>
    </cfRule>
    <cfRule type="cellIs" dxfId="9320" priority="12122" stopIfTrue="1" operator="between">
      <formula>0</formula>
      <formula>0.5</formula>
    </cfRule>
  </conditionalFormatting>
  <conditionalFormatting sqref="W173">
    <cfRule type="cellIs" dxfId="9319" priority="12113" operator="between">
      <formula>0.76</formula>
      <formula>0.95</formula>
    </cfRule>
    <cfRule type="cellIs" dxfId="9318" priority="12114" operator="between">
      <formula>0.51</formula>
      <formula>0.75</formula>
    </cfRule>
    <cfRule type="cellIs" dxfId="9317" priority="12115" operator="greaterThan">
      <formula>1</formula>
    </cfRule>
    <cfRule type="cellIs" dxfId="9316" priority="12116" operator="between">
      <formula>0.95</formula>
      <formula>1</formula>
    </cfRule>
    <cfRule type="cellIs" dxfId="9315" priority="12117" stopIfTrue="1" operator="between">
      <formula>0</formula>
      <formula>0.5</formula>
    </cfRule>
  </conditionalFormatting>
  <conditionalFormatting sqref="W175">
    <cfRule type="cellIs" dxfId="9314" priority="12108" operator="between">
      <formula>0.76</formula>
      <formula>0.95</formula>
    </cfRule>
    <cfRule type="cellIs" dxfId="9313" priority="12109" operator="between">
      <formula>0.51</formula>
      <formula>0.75</formula>
    </cfRule>
    <cfRule type="cellIs" dxfId="9312" priority="12110" operator="greaterThan">
      <formula>1</formula>
    </cfRule>
    <cfRule type="cellIs" dxfId="9311" priority="12111" operator="between">
      <formula>0.95</formula>
      <formula>1</formula>
    </cfRule>
    <cfRule type="cellIs" dxfId="9310" priority="12112" stopIfTrue="1" operator="between">
      <formula>0</formula>
      <formula>0.5</formula>
    </cfRule>
  </conditionalFormatting>
  <conditionalFormatting sqref="W176">
    <cfRule type="cellIs" dxfId="9309" priority="12103" operator="between">
      <formula>0.76</formula>
      <formula>0.95</formula>
    </cfRule>
    <cfRule type="cellIs" dxfId="9308" priority="12104" operator="between">
      <formula>0.51</formula>
      <formula>0.75</formula>
    </cfRule>
    <cfRule type="cellIs" dxfId="9307" priority="12105" operator="greaterThan">
      <formula>1</formula>
    </cfRule>
    <cfRule type="cellIs" dxfId="9306" priority="12106" operator="between">
      <formula>0.95</formula>
      <formula>1</formula>
    </cfRule>
    <cfRule type="cellIs" dxfId="9305" priority="12107" stopIfTrue="1" operator="between">
      <formula>0</formula>
      <formula>0.5</formula>
    </cfRule>
  </conditionalFormatting>
  <conditionalFormatting sqref="W177">
    <cfRule type="cellIs" dxfId="9304" priority="12098" operator="between">
      <formula>0.76</formula>
      <formula>0.95</formula>
    </cfRule>
    <cfRule type="cellIs" dxfId="9303" priority="12099" operator="between">
      <formula>0.51</formula>
      <formula>0.75</formula>
    </cfRule>
    <cfRule type="cellIs" dxfId="9302" priority="12100" operator="greaterThan">
      <formula>1</formula>
    </cfRule>
    <cfRule type="cellIs" dxfId="9301" priority="12101" operator="between">
      <formula>0.95</formula>
      <formula>1</formula>
    </cfRule>
    <cfRule type="cellIs" dxfId="9300" priority="12102" stopIfTrue="1" operator="between">
      <formula>0</formula>
      <formula>0.5</formula>
    </cfRule>
  </conditionalFormatting>
  <conditionalFormatting sqref="W179">
    <cfRule type="cellIs" dxfId="9299" priority="12093" operator="between">
      <formula>0.76</formula>
      <formula>0.95</formula>
    </cfRule>
    <cfRule type="cellIs" dxfId="9298" priority="12094" operator="between">
      <formula>0.51</formula>
      <formula>0.75</formula>
    </cfRule>
    <cfRule type="cellIs" dxfId="9297" priority="12095" operator="greaterThan">
      <formula>1</formula>
    </cfRule>
    <cfRule type="cellIs" dxfId="9296" priority="12096" operator="between">
      <formula>0.95</formula>
      <formula>1</formula>
    </cfRule>
    <cfRule type="cellIs" dxfId="9295" priority="12097" stopIfTrue="1" operator="between">
      <formula>0</formula>
      <formula>0.5</formula>
    </cfRule>
  </conditionalFormatting>
  <conditionalFormatting sqref="W211">
    <cfRule type="cellIs" dxfId="9294" priority="11928" operator="between">
      <formula>0.76</formula>
      <formula>0.95</formula>
    </cfRule>
    <cfRule type="cellIs" dxfId="9293" priority="11929" operator="between">
      <formula>0.51</formula>
      <formula>0.75</formula>
    </cfRule>
    <cfRule type="cellIs" dxfId="9292" priority="11930" operator="greaterThan">
      <formula>1</formula>
    </cfRule>
    <cfRule type="cellIs" dxfId="9291" priority="11931" operator="between">
      <formula>0.95</formula>
      <formula>1</formula>
    </cfRule>
    <cfRule type="cellIs" dxfId="9290" priority="11932" stopIfTrue="1" operator="between">
      <formula>0</formula>
      <formula>0.5</formula>
    </cfRule>
  </conditionalFormatting>
  <conditionalFormatting sqref="W180">
    <cfRule type="cellIs" dxfId="9289" priority="12083" operator="between">
      <formula>0.76</formula>
      <formula>0.95</formula>
    </cfRule>
    <cfRule type="cellIs" dxfId="9288" priority="12084" operator="between">
      <formula>0.51</formula>
      <formula>0.75</formula>
    </cfRule>
    <cfRule type="cellIs" dxfId="9287" priority="12085" operator="greaterThan">
      <formula>1</formula>
    </cfRule>
    <cfRule type="cellIs" dxfId="9286" priority="12086" operator="between">
      <formula>0.95</formula>
      <formula>1</formula>
    </cfRule>
    <cfRule type="cellIs" dxfId="9285" priority="12087" stopIfTrue="1" operator="between">
      <formula>0</formula>
      <formula>0.5</formula>
    </cfRule>
  </conditionalFormatting>
  <conditionalFormatting sqref="W181">
    <cfRule type="cellIs" dxfId="9284" priority="12073" operator="between">
      <formula>0.76</formula>
      <formula>0.95</formula>
    </cfRule>
    <cfRule type="cellIs" dxfId="9283" priority="12074" operator="between">
      <formula>0.51</formula>
      <formula>0.75</formula>
    </cfRule>
    <cfRule type="cellIs" dxfId="9282" priority="12075" operator="greaterThan">
      <formula>1</formula>
    </cfRule>
    <cfRule type="cellIs" dxfId="9281" priority="12076" operator="between">
      <formula>0.95</formula>
      <formula>1</formula>
    </cfRule>
    <cfRule type="cellIs" dxfId="9280" priority="12077" stopIfTrue="1" operator="between">
      <formula>0</formula>
      <formula>0.5</formula>
    </cfRule>
  </conditionalFormatting>
  <conditionalFormatting sqref="W182">
    <cfRule type="cellIs" dxfId="9279" priority="12068" operator="between">
      <formula>0.76</formula>
      <formula>0.95</formula>
    </cfRule>
    <cfRule type="cellIs" dxfId="9278" priority="12069" operator="between">
      <formula>0.51</formula>
      <formula>0.75</formula>
    </cfRule>
    <cfRule type="cellIs" dxfId="9277" priority="12070" operator="greaterThan">
      <formula>1</formula>
    </cfRule>
    <cfRule type="cellIs" dxfId="9276" priority="12071" operator="between">
      <formula>0.95</formula>
      <formula>1</formula>
    </cfRule>
    <cfRule type="cellIs" dxfId="9275" priority="12072" stopIfTrue="1" operator="between">
      <formula>0</formula>
      <formula>0.5</formula>
    </cfRule>
  </conditionalFormatting>
  <conditionalFormatting sqref="W183">
    <cfRule type="cellIs" dxfId="9274" priority="12063" operator="between">
      <formula>0.76</formula>
      <formula>0.95</formula>
    </cfRule>
    <cfRule type="cellIs" dxfId="9273" priority="12064" operator="between">
      <formula>0.51</formula>
      <formula>0.75</formula>
    </cfRule>
    <cfRule type="cellIs" dxfId="9272" priority="12065" operator="greaterThan">
      <formula>1</formula>
    </cfRule>
    <cfRule type="cellIs" dxfId="9271" priority="12066" operator="between">
      <formula>0.95</formula>
      <formula>1</formula>
    </cfRule>
    <cfRule type="cellIs" dxfId="9270" priority="12067" stopIfTrue="1" operator="between">
      <formula>0</formula>
      <formula>0.5</formula>
    </cfRule>
  </conditionalFormatting>
  <conditionalFormatting sqref="W184">
    <cfRule type="cellIs" dxfId="9269" priority="12058" operator="between">
      <formula>0.76</formula>
      <formula>0.95</formula>
    </cfRule>
    <cfRule type="cellIs" dxfId="9268" priority="12059" operator="between">
      <formula>0.51</formula>
      <formula>0.75</formula>
    </cfRule>
    <cfRule type="cellIs" dxfId="9267" priority="12060" operator="greaterThan">
      <formula>1</formula>
    </cfRule>
    <cfRule type="cellIs" dxfId="9266" priority="12061" operator="between">
      <formula>0.95</formula>
      <formula>1</formula>
    </cfRule>
    <cfRule type="cellIs" dxfId="9265" priority="12062" stopIfTrue="1" operator="between">
      <formula>0</formula>
      <formula>0.5</formula>
    </cfRule>
  </conditionalFormatting>
  <conditionalFormatting sqref="W185">
    <cfRule type="cellIs" dxfId="9264" priority="12053" operator="between">
      <formula>0.76</formula>
      <formula>0.95</formula>
    </cfRule>
    <cfRule type="cellIs" dxfId="9263" priority="12054" operator="between">
      <formula>0.51</formula>
      <formula>0.75</formula>
    </cfRule>
    <cfRule type="cellIs" dxfId="9262" priority="12055" operator="greaterThan">
      <formula>1</formula>
    </cfRule>
    <cfRule type="cellIs" dxfId="9261" priority="12056" operator="between">
      <formula>0.95</formula>
      <formula>1</formula>
    </cfRule>
    <cfRule type="cellIs" dxfId="9260" priority="12057" stopIfTrue="1" operator="between">
      <formula>0</formula>
      <formula>0.5</formula>
    </cfRule>
  </conditionalFormatting>
  <conditionalFormatting sqref="W186">
    <cfRule type="cellIs" dxfId="9259" priority="12048" operator="between">
      <formula>0.76</formula>
      <formula>0.95</formula>
    </cfRule>
    <cfRule type="cellIs" dxfId="9258" priority="12049" operator="between">
      <formula>0.51</formula>
      <formula>0.75</formula>
    </cfRule>
    <cfRule type="cellIs" dxfId="9257" priority="12050" operator="greaterThan">
      <formula>1</formula>
    </cfRule>
    <cfRule type="cellIs" dxfId="9256" priority="12051" operator="between">
      <formula>0.95</formula>
      <formula>1</formula>
    </cfRule>
    <cfRule type="cellIs" dxfId="9255" priority="12052" stopIfTrue="1" operator="between">
      <formula>0</formula>
      <formula>0.5</formula>
    </cfRule>
  </conditionalFormatting>
  <conditionalFormatting sqref="W187">
    <cfRule type="cellIs" dxfId="9254" priority="12043" operator="between">
      <formula>0.76</formula>
      <formula>0.95</formula>
    </cfRule>
    <cfRule type="cellIs" dxfId="9253" priority="12044" operator="between">
      <formula>0.51</formula>
      <formula>0.75</formula>
    </cfRule>
    <cfRule type="cellIs" dxfId="9252" priority="12045" operator="greaterThan">
      <formula>1</formula>
    </cfRule>
    <cfRule type="cellIs" dxfId="9251" priority="12046" operator="between">
      <formula>0.95</formula>
      <formula>1</formula>
    </cfRule>
    <cfRule type="cellIs" dxfId="9250" priority="12047" stopIfTrue="1" operator="between">
      <formula>0</formula>
      <formula>0.5</formula>
    </cfRule>
  </conditionalFormatting>
  <conditionalFormatting sqref="W188">
    <cfRule type="cellIs" dxfId="9249" priority="12038" operator="between">
      <formula>0.76</formula>
      <formula>0.95</formula>
    </cfRule>
    <cfRule type="cellIs" dxfId="9248" priority="12039" operator="between">
      <formula>0.51</formula>
      <formula>0.75</formula>
    </cfRule>
    <cfRule type="cellIs" dxfId="9247" priority="12040" operator="greaterThan">
      <formula>1</formula>
    </cfRule>
    <cfRule type="cellIs" dxfId="9246" priority="12041" operator="between">
      <formula>0.95</formula>
      <formula>1</formula>
    </cfRule>
    <cfRule type="cellIs" dxfId="9245" priority="12042" stopIfTrue="1" operator="between">
      <formula>0</formula>
      <formula>0.5</formula>
    </cfRule>
  </conditionalFormatting>
  <conditionalFormatting sqref="W189">
    <cfRule type="cellIs" dxfId="9244" priority="12033" operator="between">
      <formula>0.76</formula>
      <formula>0.95</formula>
    </cfRule>
    <cfRule type="cellIs" dxfId="9243" priority="12034" operator="between">
      <formula>0.51</formula>
      <formula>0.75</formula>
    </cfRule>
    <cfRule type="cellIs" dxfId="9242" priority="12035" operator="greaterThan">
      <formula>1</formula>
    </cfRule>
    <cfRule type="cellIs" dxfId="9241" priority="12036" operator="between">
      <formula>0.95</formula>
      <formula>1</formula>
    </cfRule>
    <cfRule type="cellIs" dxfId="9240" priority="12037" stopIfTrue="1" operator="between">
      <formula>0</formula>
      <formula>0.5</formula>
    </cfRule>
  </conditionalFormatting>
  <conditionalFormatting sqref="W190">
    <cfRule type="cellIs" dxfId="9239" priority="12028" operator="between">
      <formula>0.76</formula>
      <formula>0.95</formula>
    </cfRule>
    <cfRule type="cellIs" dxfId="9238" priority="12029" operator="between">
      <formula>0.51</formula>
      <formula>0.75</formula>
    </cfRule>
    <cfRule type="cellIs" dxfId="9237" priority="12030" operator="greaterThan">
      <formula>1</formula>
    </cfRule>
    <cfRule type="cellIs" dxfId="9236" priority="12031" operator="between">
      <formula>0.95</formula>
      <formula>1</formula>
    </cfRule>
    <cfRule type="cellIs" dxfId="9235" priority="12032" stopIfTrue="1" operator="between">
      <formula>0</formula>
      <formula>0.5</formula>
    </cfRule>
  </conditionalFormatting>
  <conditionalFormatting sqref="W191">
    <cfRule type="cellIs" dxfId="9234" priority="12023" operator="between">
      <formula>0.76</formula>
      <formula>0.95</formula>
    </cfRule>
    <cfRule type="cellIs" dxfId="9233" priority="12024" operator="between">
      <formula>0.51</formula>
      <formula>0.75</formula>
    </cfRule>
    <cfRule type="cellIs" dxfId="9232" priority="12025" operator="greaterThan">
      <formula>1</formula>
    </cfRule>
    <cfRule type="cellIs" dxfId="9231" priority="12026" operator="between">
      <formula>0.95</formula>
      <formula>1</formula>
    </cfRule>
    <cfRule type="cellIs" dxfId="9230" priority="12027" stopIfTrue="1" operator="between">
      <formula>0</formula>
      <formula>0.5</formula>
    </cfRule>
  </conditionalFormatting>
  <conditionalFormatting sqref="W192">
    <cfRule type="cellIs" dxfId="9229" priority="12018" operator="between">
      <formula>0.76</formula>
      <formula>0.95</formula>
    </cfRule>
    <cfRule type="cellIs" dxfId="9228" priority="12019" operator="between">
      <formula>0.51</formula>
      <formula>0.75</formula>
    </cfRule>
    <cfRule type="cellIs" dxfId="9227" priority="12020" operator="greaterThan">
      <formula>1</formula>
    </cfRule>
    <cfRule type="cellIs" dxfId="9226" priority="12021" operator="between">
      <formula>0.95</formula>
      <formula>1</formula>
    </cfRule>
    <cfRule type="cellIs" dxfId="9225" priority="12022" stopIfTrue="1" operator="between">
      <formula>0</formula>
      <formula>0.5</formula>
    </cfRule>
  </conditionalFormatting>
  <conditionalFormatting sqref="W195">
    <cfRule type="cellIs" dxfId="9224" priority="12013" operator="between">
      <formula>0.76</formula>
      <formula>0.95</formula>
    </cfRule>
    <cfRule type="cellIs" dxfId="9223" priority="12014" operator="between">
      <formula>0.51</formula>
      <formula>0.75</formula>
    </cfRule>
    <cfRule type="cellIs" dxfId="9222" priority="12015" operator="greaterThan">
      <formula>1</formula>
    </cfRule>
    <cfRule type="cellIs" dxfId="9221" priority="12016" operator="between">
      <formula>0.95</formula>
      <formula>1</formula>
    </cfRule>
    <cfRule type="cellIs" dxfId="9220" priority="12017" stopIfTrue="1" operator="between">
      <formula>0</formula>
      <formula>0.5</formula>
    </cfRule>
  </conditionalFormatting>
  <conditionalFormatting sqref="W196">
    <cfRule type="cellIs" dxfId="9219" priority="12008" operator="between">
      <formula>0.76</formula>
      <formula>0.95</formula>
    </cfRule>
    <cfRule type="cellIs" dxfId="9218" priority="12009" operator="between">
      <formula>0.51</formula>
      <formula>0.75</formula>
    </cfRule>
    <cfRule type="cellIs" dxfId="9217" priority="12010" operator="greaterThan">
      <formula>1</formula>
    </cfRule>
    <cfRule type="cellIs" dxfId="9216" priority="12011" operator="between">
      <formula>0.95</formula>
      <formula>1</formula>
    </cfRule>
    <cfRule type="cellIs" dxfId="9215" priority="12012" stopIfTrue="1" operator="between">
      <formula>0</formula>
      <formula>0.5</formula>
    </cfRule>
  </conditionalFormatting>
  <conditionalFormatting sqref="W198">
    <cfRule type="cellIs" dxfId="9214" priority="11998" operator="between">
      <formula>0.76</formula>
      <formula>0.95</formula>
    </cfRule>
    <cfRule type="cellIs" dxfId="9213" priority="11999" operator="between">
      <formula>0.51</formula>
      <formula>0.75</formula>
    </cfRule>
    <cfRule type="cellIs" dxfId="9212" priority="12000" operator="greaterThan">
      <formula>1</formula>
    </cfRule>
    <cfRule type="cellIs" dxfId="9211" priority="12001" operator="between">
      <formula>0.95</formula>
      <formula>1</formula>
    </cfRule>
    <cfRule type="cellIs" dxfId="9210" priority="12002" stopIfTrue="1" operator="between">
      <formula>0</formula>
      <formula>0.5</formula>
    </cfRule>
  </conditionalFormatting>
  <conditionalFormatting sqref="W197">
    <cfRule type="cellIs" dxfId="9209" priority="11993" operator="between">
      <formula>0.76</formula>
      <formula>0.95</formula>
    </cfRule>
    <cfRule type="cellIs" dxfId="9208" priority="11994" operator="between">
      <formula>0.51</formula>
      <formula>0.75</formula>
    </cfRule>
    <cfRule type="cellIs" dxfId="9207" priority="11995" operator="greaterThan">
      <formula>1</formula>
    </cfRule>
    <cfRule type="cellIs" dxfId="9206" priority="11996" operator="between">
      <formula>0.95</formula>
      <formula>1</formula>
    </cfRule>
    <cfRule type="cellIs" dxfId="9205" priority="11997" stopIfTrue="1" operator="between">
      <formula>0</formula>
      <formula>0.5</formula>
    </cfRule>
  </conditionalFormatting>
  <conditionalFormatting sqref="W199">
    <cfRule type="cellIs" dxfId="9204" priority="11988" operator="between">
      <formula>0.76</formula>
      <formula>0.95</formula>
    </cfRule>
    <cfRule type="cellIs" dxfId="9203" priority="11989" operator="between">
      <formula>0.51</formula>
      <formula>0.75</formula>
    </cfRule>
    <cfRule type="cellIs" dxfId="9202" priority="11990" operator="greaterThan">
      <formula>1</formula>
    </cfRule>
    <cfRule type="cellIs" dxfId="9201" priority="11991" operator="between">
      <formula>0.95</formula>
      <formula>1</formula>
    </cfRule>
    <cfRule type="cellIs" dxfId="9200" priority="11992" stopIfTrue="1" operator="between">
      <formula>0</formula>
      <formula>0.5</formula>
    </cfRule>
  </conditionalFormatting>
  <conditionalFormatting sqref="W200">
    <cfRule type="cellIs" dxfId="9199" priority="11983" operator="between">
      <formula>0.76</formula>
      <formula>0.95</formula>
    </cfRule>
    <cfRule type="cellIs" dxfId="9198" priority="11984" operator="between">
      <formula>0.51</formula>
      <formula>0.75</formula>
    </cfRule>
    <cfRule type="cellIs" dxfId="9197" priority="11985" operator="greaterThan">
      <formula>1</formula>
    </cfRule>
    <cfRule type="cellIs" dxfId="9196" priority="11986" operator="between">
      <formula>0.95</formula>
      <formula>1</formula>
    </cfRule>
    <cfRule type="cellIs" dxfId="9195" priority="11987" stopIfTrue="1" operator="between">
      <formula>0</formula>
      <formula>0.5</formula>
    </cfRule>
  </conditionalFormatting>
  <conditionalFormatting sqref="W201">
    <cfRule type="cellIs" dxfId="9194" priority="11978" operator="between">
      <formula>0.76</formula>
      <formula>0.95</formula>
    </cfRule>
    <cfRule type="cellIs" dxfId="9193" priority="11979" operator="between">
      <formula>0.51</formula>
      <formula>0.75</formula>
    </cfRule>
    <cfRule type="cellIs" dxfId="9192" priority="11980" operator="greaterThan">
      <formula>1</formula>
    </cfRule>
    <cfRule type="cellIs" dxfId="9191" priority="11981" operator="between">
      <formula>0.95</formula>
      <formula>1</formula>
    </cfRule>
    <cfRule type="cellIs" dxfId="9190" priority="11982" stopIfTrue="1" operator="between">
      <formula>0</formula>
      <formula>0.5</formula>
    </cfRule>
  </conditionalFormatting>
  <conditionalFormatting sqref="W202">
    <cfRule type="cellIs" dxfId="9189" priority="11973" operator="between">
      <formula>0.76</formula>
      <formula>0.95</formula>
    </cfRule>
    <cfRule type="cellIs" dxfId="9188" priority="11974" operator="between">
      <formula>0.51</formula>
      <formula>0.75</formula>
    </cfRule>
    <cfRule type="cellIs" dxfId="9187" priority="11975" operator="greaterThan">
      <formula>1</formula>
    </cfRule>
    <cfRule type="cellIs" dxfId="9186" priority="11976" operator="between">
      <formula>0.95</formula>
      <formula>1</formula>
    </cfRule>
    <cfRule type="cellIs" dxfId="9185" priority="11977" stopIfTrue="1" operator="between">
      <formula>0</formula>
      <formula>0.5</formula>
    </cfRule>
  </conditionalFormatting>
  <conditionalFormatting sqref="W203">
    <cfRule type="cellIs" dxfId="9184" priority="11968" operator="between">
      <formula>0.76</formula>
      <formula>0.95</formula>
    </cfRule>
    <cfRule type="cellIs" dxfId="9183" priority="11969" operator="between">
      <formula>0.51</formula>
      <formula>0.75</formula>
    </cfRule>
    <cfRule type="cellIs" dxfId="9182" priority="11970" operator="greaterThan">
      <formula>1</formula>
    </cfRule>
    <cfRule type="cellIs" dxfId="9181" priority="11971" operator="between">
      <formula>0.95</formula>
      <formula>1</formula>
    </cfRule>
    <cfRule type="cellIs" dxfId="9180" priority="11972" stopIfTrue="1" operator="between">
      <formula>0</formula>
      <formula>0.5</formula>
    </cfRule>
  </conditionalFormatting>
  <conditionalFormatting sqref="W204">
    <cfRule type="cellIs" dxfId="9179" priority="11963" operator="between">
      <formula>0.76</formula>
      <formula>0.95</formula>
    </cfRule>
    <cfRule type="cellIs" dxfId="9178" priority="11964" operator="between">
      <formula>0.51</formula>
      <formula>0.75</formula>
    </cfRule>
    <cfRule type="cellIs" dxfId="9177" priority="11965" operator="greaterThan">
      <formula>1</formula>
    </cfRule>
    <cfRule type="cellIs" dxfId="9176" priority="11966" operator="between">
      <formula>0.95</formula>
      <formula>1</formula>
    </cfRule>
    <cfRule type="cellIs" dxfId="9175" priority="11967" stopIfTrue="1" operator="between">
      <formula>0</formula>
      <formula>0.5</formula>
    </cfRule>
  </conditionalFormatting>
  <conditionalFormatting sqref="W205">
    <cfRule type="cellIs" dxfId="9174" priority="11958" operator="between">
      <formula>0.76</formula>
      <formula>0.95</formula>
    </cfRule>
    <cfRule type="cellIs" dxfId="9173" priority="11959" operator="between">
      <formula>0.51</formula>
      <formula>0.75</formula>
    </cfRule>
    <cfRule type="cellIs" dxfId="9172" priority="11960" operator="greaterThan">
      <formula>1</formula>
    </cfRule>
    <cfRule type="cellIs" dxfId="9171" priority="11961" operator="between">
      <formula>0.95</formula>
      <formula>1</formula>
    </cfRule>
    <cfRule type="cellIs" dxfId="9170" priority="11962" stopIfTrue="1" operator="between">
      <formula>0</formula>
      <formula>0.5</formula>
    </cfRule>
  </conditionalFormatting>
  <conditionalFormatting sqref="W206">
    <cfRule type="cellIs" dxfId="9169" priority="11953" operator="between">
      <formula>0.76</formula>
      <formula>0.95</formula>
    </cfRule>
    <cfRule type="cellIs" dxfId="9168" priority="11954" operator="between">
      <formula>0.51</formula>
      <formula>0.75</formula>
    </cfRule>
    <cfRule type="cellIs" dxfId="9167" priority="11955" operator="greaterThan">
      <formula>1</formula>
    </cfRule>
    <cfRule type="cellIs" dxfId="9166" priority="11956" operator="between">
      <formula>0.95</formula>
      <formula>1</formula>
    </cfRule>
    <cfRule type="cellIs" dxfId="9165" priority="11957" stopIfTrue="1" operator="between">
      <formula>0</formula>
      <formula>0.5</formula>
    </cfRule>
  </conditionalFormatting>
  <conditionalFormatting sqref="W207">
    <cfRule type="cellIs" dxfId="9164" priority="11948" operator="between">
      <formula>0.76</formula>
      <formula>0.95</formula>
    </cfRule>
    <cfRule type="cellIs" dxfId="9163" priority="11949" operator="between">
      <formula>0.51</formula>
      <formula>0.75</formula>
    </cfRule>
    <cfRule type="cellIs" dxfId="9162" priority="11950" operator="greaterThan">
      <formula>1</formula>
    </cfRule>
    <cfRule type="cellIs" dxfId="9161" priority="11951" operator="between">
      <formula>0.95</formula>
      <formula>1</formula>
    </cfRule>
    <cfRule type="cellIs" dxfId="9160" priority="11952" stopIfTrue="1" operator="between">
      <formula>0</formula>
      <formula>0.5</formula>
    </cfRule>
  </conditionalFormatting>
  <conditionalFormatting sqref="W208">
    <cfRule type="cellIs" dxfId="9159" priority="11943" operator="between">
      <formula>0.76</formula>
      <formula>0.95</formula>
    </cfRule>
    <cfRule type="cellIs" dxfId="9158" priority="11944" operator="between">
      <formula>0.51</formula>
      <formula>0.75</formula>
    </cfRule>
    <cfRule type="cellIs" dxfId="9157" priority="11945" operator="greaterThan">
      <formula>1</formula>
    </cfRule>
    <cfRule type="cellIs" dxfId="9156" priority="11946" operator="between">
      <formula>0.95</formula>
      <formula>1</formula>
    </cfRule>
    <cfRule type="cellIs" dxfId="9155" priority="11947" stopIfTrue="1" operator="between">
      <formula>0</formula>
      <formula>0.5</formula>
    </cfRule>
  </conditionalFormatting>
  <conditionalFormatting sqref="W209">
    <cfRule type="cellIs" dxfId="9154" priority="11938" operator="between">
      <formula>0.76</formula>
      <formula>0.95</formula>
    </cfRule>
    <cfRule type="cellIs" dxfId="9153" priority="11939" operator="between">
      <formula>0.51</formula>
      <formula>0.75</formula>
    </cfRule>
    <cfRule type="cellIs" dxfId="9152" priority="11940" operator="greaterThan">
      <formula>1</formula>
    </cfRule>
    <cfRule type="cellIs" dxfId="9151" priority="11941" operator="between">
      <formula>0.95</formula>
      <formula>1</formula>
    </cfRule>
    <cfRule type="cellIs" dxfId="9150" priority="11942" stopIfTrue="1" operator="between">
      <formula>0</formula>
      <formula>0.5</formula>
    </cfRule>
  </conditionalFormatting>
  <conditionalFormatting sqref="W210">
    <cfRule type="cellIs" dxfId="9149" priority="11933" operator="between">
      <formula>0.76</formula>
      <formula>0.95</formula>
    </cfRule>
    <cfRule type="cellIs" dxfId="9148" priority="11934" operator="between">
      <formula>0.51</formula>
      <formula>0.75</formula>
    </cfRule>
    <cfRule type="cellIs" dxfId="9147" priority="11935" operator="greaterThan">
      <formula>1</formula>
    </cfRule>
    <cfRule type="cellIs" dxfId="9146" priority="11936" operator="between">
      <formula>0.95</formula>
      <formula>1</formula>
    </cfRule>
    <cfRule type="cellIs" dxfId="9145" priority="11937" stopIfTrue="1" operator="between">
      <formula>0</formula>
      <formula>0.5</formula>
    </cfRule>
  </conditionalFormatting>
  <conditionalFormatting sqref="W212">
    <cfRule type="cellIs" dxfId="9144" priority="11923" operator="between">
      <formula>0.76</formula>
      <formula>0.95</formula>
    </cfRule>
    <cfRule type="cellIs" dxfId="9143" priority="11924" operator="between">
      <formula>0.51</formula>
      <formula>0.75</formula>
    </cfRule>
    <cfRule type="cellIs" dxfId="9142" priority="11925" operator="greaterThan">
      <formula>1</formula>
    </cfRule>
    <cfRule type="cellIs" dxfId="9141" priority="11926" operator="between">
      <formula>0.95</formula>
      <formula>1</formula>
    </cfRule>
    <cfRule type="cellIs" dxfId="9140" priority="11927" stopIfTrue="1" operator="between">
      <formula>0</formula>
      <formula>0.5</formula>
    </cfRule>
  </conditionalFormatting>
  <conditionalFormatting sqref="W213">
    <cfRule type="cellIs" dxfId="9139" priority="11918" operator="between">
      <formula>0.76</formula>
      <formula>0.95</formula>
    </cfRule>
    <cfRule type="cellIs" dxfId="9138" priority="11919" operator="between">
      <formula>0.51</formula>
      <formula>0.75</formula>
    </cfRule>
    <cfRule type="cellIs" dxfId="9137" priority="11920" operator="greaterThan">
      <formula>1</formula>
    </cfRule>
    <cfRule type="cellIs" dxfId="9136" priority="11921" operator="between">
      <formula>0.95</formula>
      <formula>1</formula>
    </cfRule>
    <cfRule type="cellIs" dxfId="9135" priority="11922" stopIfTrue="1" operator="between">
      <formula>0</formula>
      <formula>0.5</formula>
    </cfRule>
  </conditionalFormatting>
  <conditionalFormatting sqref="W215">
    <cfRule type="cellIs" dxfId="9134" priority="11913" operator="between">
      <formula>0.76</formula>
      <formula>0.95</formula>
    </cfRule>
    <cfRule type="cellIs" dxfId="9133" priority="11914" operator="between">
      <formula>0.51</formula>
      <formula>0.75</formula>
    </cfRule>
    <cfRule type="cellIs" dxfId="9132" priority="11915" operator="greaterThan">
      <formula>1</formula>
    </cfRule>
    <cfRule type="cellIs" dxfId="9131" priority="11916" operator="between">
      <formula>0.95</formula>
      <formula>1</formula>
    </cfRule>
    <cfRule type="cellIs" dxfId="9130" priority="11917" stopIfTrue="1" operator="between">
      <formula>0</formula>
      <formula>0.5</formula>
    </cfRule>
  </conditionalFormatting>
  <conditionalFormatting sqref="W216">
    <cfRule type="cellIs" dxfId="9129" priority="11908" operator="between">
      <formula>0.76</formula>
      <formula>0.95</formula>
    </cfRule>
    <cfRule type="cellIs" dxfId="9128" priority="11909" operator="between">
      <formula>0.51</formula>
      <formula>0.75</formula>
    </cfRule>
    <cfRule type="cellIs" dxfId="9127" priority="11910" operator="greaterThan">
      <formula>1</formula>
    </cfRule>
    <cfRule type="cellIs" dxfId="9126" priority="11911" operator="between">
      <formula>0.95</formula>
      <formula>1</formula>
    </cfRule>
    <cfRule type="cellIs" dxfId="9125" priority="11912" stopIfTrue="1" operator="between">
      <formula>0</formula>
      <formula>0.5</formula>
    </cfRule>
  </conditionalFormatting>
  <conditionalFormatting sqref="W217">
    <cfRule type="cellIs" dxfId="9124" priority="11903" operator="between">
      <formula>0.76</formula>
      <formula>0.95</formula>
    </cfRule>
    <cfRule type="cellIs" dxfId="9123" priority="11904" operator="between">
      <formula>0.51</formula>
      <formula>0.75</formula>
    </cfRule>
    <cfRule type="cellIs" dxfId="9122" priority="11905" operator="greaterThan">
      <formula>1</formula>
    </cfRule>
    <cfRule type="cellIs" dxfId="9121" priority="11906" operator="between">
      <formula>0.95</formula>
      <formula>1</formula>
    </cfRule>
    <cfRule type="cellIs" dxfId="9120" priority="11907" stopIfTrue="1" operator="between">
      <formula>0</formula>
      <formula>0.5</formula>
    </cfRule>
  </conditionalFormatting>
  <conditionalFormatting sqref="W218">
    <cfRule type="cellIs" dxfId="9119" priority="11898" operator="between">
      <formula>0.76</formula>
      <formula>0.95</formula>
    </cfRule>
    <cfRule type="cellIs" dxfId="9118" priority="11899" operator="between">
      <formula>0.51</formula>
      <formula>0.75</formula>
    </cfRule>
    <cfRule type="cellIs" dxfId="9117" priority="11900" operator="greaterThan">
      <formula>1</formula>
    </cfRule>
    <cfRule type="cellIs" dxfId="9116" priority="11901" operator="between">
      <formula>0.95</formula>
      <formula>1</formula>
    </cfRule>
    <cfRule type="cellIs" dxfId="9115" priority="11902" stopIfTrue="1" operator="between">
      <formula>0</formula>
      <formula>0.5</formula>
    </cfRule>
  </conditionalFormatting>
  <conditionalFormatting sqref="AD21">
    <cfRule type="cellIs" dxfId="9114" priority="11813" operator="between">
      <formula>0.76</formula>
      <formula>0.95</formula>
    </cfRule>
    <cfRule type="cellIs" dxfId="9113" priority="11814" operator="between">
      <formula>0.51</formula>
      <formula>0.75</formula>
    </cfRule>
    <cfRule type="cellIs" dxfId="9112" priority="11815" operator="greaterThan">
      <formula>1</formula>
    </cfRule>
    <cfRule type="cellIs" dxfId="9111" priority="11816" operator="between">
      <formula>0.95</formula>
      <formula>1</formula>
    </cfRule>
    <cfRule type="cellIs" dxfId="9110" priority="11817" stopIfTrue="1" operator="between">
      <formula>0</formula>
      <formula>0.5</formula>
    </cfRule>
  </conditionalFormatting>
  <conditionalFormatting sqref="W220">
    <cfRule type="cellIs" dxfId="9109" priority="11888" operator="between">
      <formula>0.76</formula>
      <formula>0.95</formula>
    </cfRule>
    <cfRule type="cellIs" dxfId="9108" priority="11889" operator="between">
      <formula>0.51</formula>
      <formula>0.75</formula>
    </cfRule>
    <cfRule type="cellIs" dxfId="9107" priority="11890" operator="greaterThan">
      <formula>1</formula>
    </cfRule>
    <cfRule type="cellIs" dxfId="9106" priority="11891" operator="between">
      <formula>0.95</formula>
      <formula>1</formula>
    </cfRule>
    <cfRule type="cellIs" dxfId="9105" priority="11892" stopIfTrue="1" operator="between">
      <formula>0</formula>
      <formula>0.5</formula>
    </cfRule>
  </conditionalFormatting>
  <conditionalFormatting sqref="W221">
    <cfRule type="cellIs" dxfId="9104" priority="11883" operator="between">
      <formula>0.76</formula>
      <formula>0.95</formula>
    </cfRule>
    <cfRule type="cellIs" dxfId="9103" priority="11884" operator="between">
      <formula>0.51</formula>
      <formula>0.75</formula>
    </cfRule>
    <cfRule type="cellIs" dxfId="9102" priority="11885" operator="greaterThan">
      <formula>1</formula>
    </cfRule>
    <cfRule type="cellIs" dxfId="9101" priority="11886" operator="between">
      <formula>0.95</formula>
      <formula>1</formula>
    </cfRule>
    <cfRule type="cellIs" dxfId="9100" priority="11887" stopIfTrue="1" operator="between">
      <formula>0</formula>
      <formula>0.5</formula>
    </cfRule>
  </conditionalFormatting>
  <conditionalFormatting sqref="W222">
    <cfRule type="cellIs" dxfId="9099" priority="11878" operator="between">
      <formula>0.76</formula>
      <formula>0.95</formula>
    </cfRule>
    <cfRule type="cellIs" dxfId="9098" priority="11879" operator="between">
      <formula>0.51</formula>
      <formula>0.75</formula>
    </cfRule>
    <cfRule type="cellIs" dxfId="9097" priority="11880" operator="greaterThan">
      <formula>1</formula>
    </cfRule>
    <cfRule type="cellIs" dxfId="9096" priority="11881" operator="between">
      <formula>0.95</formula>
      <formula>1</formula>
    </cfRule>
    <cfRule type="cellIs" dxfId="9095" priority="11882" stopIfTrue="1" operator="between">
      <formula>0</formula>
      <formula>0.5</formula>
    </cfRule>
  </conditionalFormatting>
  <conditionalFormatting sqref="W223">
    <cfRule type="cellIs" dxfId="9094" priority="11873" operator="between">
      <formula>0.76</formula>
      <formula>0.95</formula>
    </cfRule>
    <cfRule type="cellIs" dxfId="9093" priority="11874" operator="between">
      <formula>0.51</formula>
      <formula>0.75</formula>
    </cfRule>
    <cfRule type="cellIs" dxfId="9092" priority="11875" operator="greaterThan">
      <formula>1</formula>
    </cfRule>
    <cfRule type="cellIs" dxfId="9091" priority="11876" operator="between">
      <formula>0.95</formula>
      <formula>1</formula>
    </cfRule>
    <cfRule type="cellIs" dxfId="9090" priority="11877" stopIfTrue="1" operator="between">
      <formula>0</formula>
      <formula>0.5</formula>
    </cfRule>
  </conditionalFormatting>
  <conditionalFormatting sqref="W224">
    <cfRule type="cellIs" dxfId="9089" priority="11868" operator="between">
      <formula>0.76</formula>
      <formula>0.95</formula>
    </cfRule>
    <cfRule type="cellIs" dxfId="9088" priority="11869" operator="between">
      <formula>0.51</formula>
      <formula>0.75</formula>
    </cfRule>
    <cfRule type="cellIs" dxfId="9087" priority="11870" operator="greaterThan">
      <formula>1</formula>
    </cfRule>
    <cfRule type="cellIs" dxfId="9086" priority="11871" operator="between">
      <formula>0.95</formula>
      <formula>1</formula>
    </cfRule>
    <cfRule type="cellIs" dxfId="9085" priority="11872" stopIfTrue="1" operator="between">
      <formula>0</formula>
      <formula>0.5</formula>
    </cfRule>
  </conditionalFormatting>
  <conditionalFormatting sqref="W225">
    <cfRule type="cellIs" dxfId="9084" priority="11863" operator="between">
      <formula>0.76</formula>
      <formula>0.95</formula>
    </cfRule>
    <cfRule type="cellIs" dxfId="9083" priority="11864" operator="between">
      <formula>0.51</formula>
      <formula>0.75</formula>
    </cfRule>
    <cfRule type="cellIs" dxfId="9082" priority="11865" operator="greaterThan">
      <formula>1</formula>
    </cfRule>
    <cfRule type="cellIs" dxfId="9081" priority="11866" operator="between">
      <formula>0.95</formula>
      <formula>1</formula>
    </cfRule>
    <cfRule type="cellIs" dxfId="9080" priority="11867" stopIfTrue="1" operator="between">
      <formula>0</formula>
      <formula>0.5</formula>
    </cfRule>
  </conditionalFormatting>
  <conditionalFormatting sqref="AD15">
    <cfRule type="cellIs" dxfId="9079" priority="11858" operator="between">
      <formula>0.76</formula>
      <formula>0.95</formula>
    </cfRule>
    <cfRule type="cellIs" dxfId="9078" priority="11859" operator="between">
      <formula>0.51</formula>
      <formula>0.75</formula>
    </cfRule>
    <cfRule type="cellIs" dxfId="9077" priority="11860" operator="greaterThan">
      <formula>1</formula>
    </cfRule>
    <cfRule type="cellIs" dxfId="9076" priority="11861" operator="between">
      <formula>0.95</formula>
      <formula>1</formula>
    </cfRule>
    <cfRule type="cellIs" dxfId="9075" priority="11862" stopIfTrue="1" operator="between">
      <formula>0</formula>
      <formula>0.5</formula>
    </cfRule>
  </conditionalFormatting>
  <conditionalFormatting sqref="AD16">
    <cfRule type="cellIs" dxfId="9074" priority="11853" operator="between">
      <formula>0.76</formula>
      <formula>0.95</formula>
    </cfRule>
    <cfRule type="cellIs" dxfId="9073" priority="11854" operator="between">
      <formula>0.51</formula>
      <formula>0.75</formula>
    </cfRule>
    <cfRule type="cellIs" dxfId="9072" priority="11855" operator="greaterThan">
      <formula>1</formula>
    </cfRule>
    <cfRule type="cellIs" dxfId="9071" priority="11856" operator="between">
      <formula>0.95</formula>
      <formula>1</formula>
    </cfRule>
    <cfRule type="cellIs" dxfId="9070" priority="11857" stopIfTrue="1" operator="between">
      <formula>0</formula>
      <formula>0.5</formula>
    </cfRule>
  </conditionalFormatting>
  <conditionalFormatting sqref="AD17">
    <cfRule type="cellIs" dxfId="9069" priority="11848" operator="between">
      <formula>0.76</formula>
      <formula>0.95</formula>
    </cfRule>
    <cfRule type="cellIs" dxfId="9068" priority="11849" operator="between">
      <formula>0.51</formula>
      <formula>0.75</formula>
    </cfRule>
    <cfRule type="cellIs" dxfId="9067" priority="11850" operator="greaterThan">
      <formula>1</formula>
    </cfRule>
    <cfRule type="cellIs" dxfId="9066" priority="11851" operator="between">
      <formula>0.95</formula>
      <formula>1</formula>
    </cfRule>
    <cfRule type="cellIs" dxfId="9065" priority="11852" stopIfTrue="1" operator="between">
      <formula>0</formula>
      <formula>0.5</formula>
    </cfRule>
  </conditionalFormatting>
  <conditionalFormatting sqref="AD18">
    <cfRule type="cellIs" dxfId="9064" priority="11828" operator="between">
      <formula>0.76</formula>
      <formula>0.95</formula>
    </cfRule>
    <cfRule type="cellIs" dxfId="9063" priority="11829" operator="between">
      <formula>0.51</formula>
      <formula>0.75</formula>
    </cfRule>
    <cfRule type="cellIs" dxfId="9062" priority="11830" operator="greaterThan">
      <formula>1</formula>
    </cfRule>
    <cfRule type="cellIs" dxfId="9061" priority="11831" operator="between">
      <formula>0.95</formula>
      <formula>1</formula>
    </cfRule>
    <cfRule type="cellIs" dxfId="9060" priority="11832" stopIfTrue="1" operator="between">
      <formula>0</formula>
      <formula>0.5</formula>
    </cfRule>
  </conditionalFormatting>
  <conditionalFormatting sqref="AD19">
    <cfRule type="cellIs" dxfId="9059" priority="11823" operator="between">
      <formula>0.76</formula>
      <formula>0.95</formula>
    </cfRule>
    <cfRule type="cellIs" dxfId="9058" priority="11824" operator="between">
      <formula>0.51</formula>
      <formula>0.75</formula>
    </cfRule>
    <cfRule type="cellIs" dxfId="9057" priority="11825" operator="greaterThan">
      <formula>1</formula>
    </cfRule>
    <cfRule type="cellIs" dxfId="9056" priority="11826" operator="between">
      <formula>0.95</formula>
      <formula>1</formula>
    </cfRule>
    <cfRule type="cellIs" dxfId="9055" priority="11827" stopIfTrue="1" operator="between">
      <formula>0</formula>
      <formula>0.5</formula>
    </cfRule>
  </conditionalFormatting>
  <conditionalFormatting sqref="AD20">
    <cfRule type="cellIs" dxfId="9054" priority="11818" operator="between">
      <formula>0.76</formula>
      <formula>0.95</formula>
    </cfRule>
    <cfRule type="cellIs" dxfId="9053" priority="11819" operator="between">
      <formula>0.51</formula>
      <formula>0.75</formula>
    </cfRule>
    <cfRule type="cellIs" dxfId="9052" priority="11820" operator="greaterThan">
      <formula>1</formula>
    </cfRule>
    <cfRule type="cellIs" dxfId="9051" priority="11821" operator="between">
      <formula>0.95</formula>
      <formula>1</formula>
    </cfRule>
    <cfRule type="cellIs" dxfId="9050" priority="11822" stopIfTrue="1" operator="between">
      <formula>0</formula>
      <formula>0.5</formula>
    </cfRule>
  </conditionalFormatting>
  <conditionalFormatting sqref="AD22">
    <cfRule type="cellIs" dxfId="9049" priority="11808" operator="between">
      <formula>0.76</formula>
      <formula>0.95</formula>
    </cfRule>
    <cfRule type="cellIs" dxfId="9048" priority="11809" operator="between">
      <formula>0.51</formula>
      <formula>0.75</formula>
    </cfRule>
    <cfRule type="cellIs" dxfId="9047" priority="11810" operator="greaterThan">
      <formula>1</formula>
    </cfRule>
    <cfRule type="cellIs" dxfId="9046" priority="11811" operator="between">
      <formula>0.95</formula>
      <formula>1</formula>
    </cfRule>
    <cfRule type="cellIs" dxfId="9045" priority="11812" stopIfTrue="1" operator="between">
      <formula>0</formula>
      <formula>0.5</formula>
    </cfRule>
  </conditionalFormatting>
  <conditionalFormatting sqref="AD23">
    <cfRule type="cellIs" dxfId="9044" priority="11803" operator="between">
      <formula>0.76</formula>
      <formula>0.95</formula>
    </cfRule>
    <cfRule type="cellIs" dxfId="9043" priority="11804" operator="between">
      <formula>0.51</formula>
      <formula>0.75</formula>
    </cfRule>
    <cfRule type="cellIs" dxfId="9042" priority="11805" operator="greaterThan">
      <formula>1</formula>
    </cfRule>
    <cfRule type="cellIs" dxfId="9041" priority="11806" operator="between">
      <formula>0.95</formula>
      <formula>1</formula>
    </cfRule>
    <cfRule type="cellIs" dxfId="9040" priority="11807" stopIfTrue="1" operator="between">
      <formula>0</formula>
      <formula>0.5</formula>
    </cfRule>
  </conditionalFormatting>
  <conditionalFormatting sqref="AD26">
    <cfRule type="cellIs" dxfId="9039" priority="11798" operator="between">
      <formula>0.76</formula>
      <formula>0.95</formula>
    </cfRule>
    <cfRule type="cellIs" dxfId="9038" priority="11799" operator="between">
      <formula>0.51</formula>
      <formula>0.75</formula>
    </cfRule>
    <cfRule type="cellIs" dxfId="9037" priority="11800" operator="greaterThan">
      <formula>1</formula>
    </cfRule>
    <cfRule type="cellIs" dxfId="9036" priority="11801" operator="between">
      <formula>0.95</formula>
      <formula>1</formula>
    </cfRule>
    <cfRule type="cellIs" dxfId="9035" priority="11802" stopIfTrue="1" operator="between">
      <formula>0</formula>
      <formula>0.5</formula>
    </cfRule>
  </conditionalFormatting>
  <conditionalFormatting sqref="AD25">
    <cfRule type="cellIs" dxfId="9034" priority="11793" operator="between">
      <formula>0.76</formula>
      <formula>0.95</formula>
    </cfRule>
    <cfRule type="cellIs" dxfId="9033" priority="11794" operator="between">
      <formula>0.51</formula>
      <formula>0.75</formula>
    </cfRule>
    <cfRule type="cellIs" dxfId="9032" priority="11795" operator="greaterThan">
      <formula>1</formula>
    </cfRule>
    <cfRule type="cellIs" dxfId="9031" priority="11796" operator="between">
      <formula>0.95</formula>
      <formula>1</formula>
    </cfRule>
    <cfRule type="cellIs" dxfId="9030" priority="11797" stopIfTrue="1" operator="between">
      <formula>0</formula>
      <formula>0.5</formula>
    </cfRule>
  </conditionalFormatting>
  <conditionalFormatting sqref="AD27">
    <cfRule type="cellIs" dxfId="9029" priority="11788" operator="between">
      <formula>0.76</formula>
      <formula>0.95</formula>
    </cfRule>
    <cfRule type="cellIs" dxfId="9028" priority="11789" operator="between">
      <formula>0.51</formula>
      <formula>0.75</formula>
    </cfRule>
    <cfRule type="cellIs" dxfId="9027" priority="11790" operator="greaterThan">
      <formula>1</formula>
    </cfRule>
    <cfRule type="cellIs" dxfId="9026" priority="11791" operator="between">
      <formula>0.95</formula>
      <formula>1</formula>
    </cfRule>
    <cfRule type="cellIs" dxfId="9025" priority="11792" stopIfTrue="1" operator="between">
      <formula>0</formula>
      <formula>0.5</formula>
    </cfRule>
  </conditionalFormatting>
  <conditionalFormatting sqref="AD28">
    <cfRule type="cellIs" dxfId="9024" priority="11783" operator="between">
      <formula>0.76</formula>
      <formula>0.95</formula>
    </cfRule>
    <cfRule type="cellIs" dxfId="9023" priority="11784" operator="between">
      <formula>0.51</formula>
      <formula>0.75</formula>
    </cfRule>
    <cfRule type="cellIs" dxfId="9022" priority="11785" operator="greaterThan">
      <formula>1</formula>
    </cfRule>
    <cfRule type="cellIs" dxfId="9021" priority="11786" operator="between">
      <formula>0.95</formula>
      <formula>1</formula>
    </cfRule>
    <cfRule type="cellIs" dxfId="9020" priority="11787" stopIfTrue="1" operator="between">
      <formula>0</formula>
      <formula>0.5</formula>
    </cfRule>
  </conditionalFormatting>
  <conditionalFormatting sqref="AD29">
    <cfRule type="cellIs" dxfId="9019" priority="11778" operator="between">
      <formula>0.76</formula>
      <formula>0.95</formula>
    </cfRule>
    <cfRule type="cellIs" dxfId="9018" priority="11779" operator="between">
      <formula>0.51</formula>
      <formula>0.75</formula>
    </cfRule>
    <cfRule type="cellIs" dxfId="9017" priority="11780" operator="greaterThan">
      <formula>1</formula>
    </cfRule>
    <cfRule type="cellIs" dxfId="9016" priority="11781" operator="between">
      <formula>0.95</formula>
      <formula>1</formula>
    </cfRule>
    <cfRule type="cellIs" dxfId="9015" priority="11782" stopIfTrue="1" operator="between">
      <formula>0</formula>
      <formula>0.5</formula>
    </cfRule>
  </conditionalFormatting>
  <conditionalFormatting sqref="AD30">
    <cfRule type="cellIs" dxfId="9014" priority="11773" operator="between">
      <formula>0.76</formula>
      <formula>0.95</formula>
    </cfRule>
    <cfRule type="cellIs" dxfId="9013" priority="11774" operator="between">
      <formula>0.51</formula>
      <formula>0.75</formula>
    </cfRule>
    <cfRule type="cellIs" dxfId="9012" priority="11775" operator="greaterThan">
      <formula>1</formula>
    </cfRule>
    <cfRule type="cellIs" dxfId="9011" priority="11776" operator="between">
      <formula>0.95</formula>
      <formula>1</formula>
    </cfRule>
    <cfRule type="cellIs" dxfId="9010" priority="11777" stopIfTrue="1" operator="between">
      <formula>0</formula>
      <formula>0.5</formula>
    </cfRule>
  </conditionalFormatting>
  <conditionalFormatting sqref="AD31">
    <cfRule type="cellIs" dxfId="9009" priority="11768" operator="between">
      <formula>0.76</formula>
      <formula>0.95</formula>
    </cfRule>
    <cfRule type="cellIs" dxfId="9008" priority="11769" operator="between">
      <formula>0.51</formula>
      <formula>0.75</formula>
    </cfRule>
    <cfRule type="cellIs" dxfId="9007" priority="11770" operator="greaterThan">
      <formula>1</formula>
    </cfRule>
    <cfRule type="cellIs" dxfId="9006" priority="11771" operator="between">
      <formula>0.95</formula>
      <formula>1</formula>
    </cfRule>
    <cfRule type="cellIs" dxfId="9005" priority="11772" stopIfTrue="1" operator="between">
      <formula>0</formula>
      <formula>0.5</formula>
    </cfRule>
  </conditionalFormatting>
  <conditionalFormatting sqref="AD35">
    <cfRule type="cellIs" dxfId="9004" priority="11763" operator="between">
      <formula>0.76</formula>
      <formula>0.95</formula>
    </cfRule>
    <cfRule type="cellIs" dxfId="9003" priority="11764" operator="between">
      <formula>0.51</formula>
      <formula>0.75</formula>
    </cfRule>
    <cfRule type="cellIs" dxfId="9002" priority="11765" operator="greaterThan">
      <formula>1</formula>
    </cfRule>
    <cfRule type="cellIs" dxfId="9001" priority="11766" operator="between">
      <formula>0.95</formula>
      <formula>1</formula>
    </cfRule>
    <cfRule type="cellIs" dxfId="9000" priority="11767" stopIfTrue="1" operator="between">
      <formula>0</formula>
      <formula>0.5</formula>
    </cfRule>
  </conditionalFormatting>
  <conditionalFormatting sqref="AD36">
    <cfRule type="cellIs" dxfId="8999" priority="11753" operator="between">
      <formula>0.76</formula>
      <formula>0.95</formula>
    </cfRule>
    <cfRule type="cellIs" dxfId="8998" priority="11754" operator="between">
      <formula>0.51</formula>
      <formula>0.75</formula>
    </cfRule>
    <cfRule type="cellIs" dxfId="8997" priority="11755" operator="greaterThan">
      <formula>1</formula>
    </cfRule>
    <cfRule type="cellIs" dxfId="8996" priority="11756" operator="between">
      <formula>0.95</formula>
      <formula>1</formula>
    </cfRule>
    <cfRule type="cellIs" dxfId="8995" priority="11757" stopIfTrue="1" operator="between">
      <formula>0</formula>
      <formula>0.5</formula>
    </cfRule>
  </conditionalFormatting>
  <conditionalFormatting sqref="AD37">
    <cfRule type="cellIs" dxfId="8994" priority="11748" operator="between">
      <formula>0.76</formula>
      <formula>0.95</formula>
    </cfRule>
    <cfRule type="cellIs" dxfId="8993" priority="11749" operator="between">
      <formula>0.51</formula>
      <formula>0.75</formula>
    </cfRule>
    <cfRule type="cellIs" dxfId="8992" priority="11750" operator="greaterThan">
      <formula>1</formula>
    </cfRule>
    <cfRule type="cellIs" dxfId="8991" priority="11751" operator="between">
      <formula>0.95</formula>
      <formula>1</formula>
    </cfRule>
    <cfRule type="cellIs" dxfId="8990" priority="11752" stopIfTrue="1" operator="between">
      <formula>0</formula>
      <formula>0.5</formula>
    </cfRule>
  </conditionalFormatting>
  <conditionalFormatting sqref="AD38">
    <cfRule type="cellIs" dxfId="8989" priority="11743" operator="between">
      <formula>0.76</formula>
      <formula>0.95</formula>
    </cfRule>
    <cfRule type="cellIs" dxfId="8988" priority="11744" operator="between">
      <formula>0.51</formula>
      <formula>0.75</formula>
    </cfRule>
    <cfRule type="cellIs" dxfId="8987" priority="11745" operator="greaterThan">
      <formula>1</formula>
    </cfRule>
    <cfRule type="cellIs" dxfId="8986" priority="11746" operator="between">
      <formula>0.95</formula>
      <formula>1</formula>
    </cfRule>
    <cfRule type="cellIs" dxfId="8985" priority="11747" stopIfTrue="1" operator="between">
      <formula>0</formula>
      <formula>0.5</formula>
    </cfRule>
  </conditionalFormatting>
  <conditionalFormatting sqref="AD39">
    <cfRule type="cellIs" dxfId="8984" priority="11738" operator="between">
      <formula>0.76</formula>
      <formula>0.95</formula>
    </cfRule>
    <cfRule type="cellIs" dxfId="8983" priority="11739" operator="between">
      <formula>0.51</formula>
      <formula>0.75</formula>
    </cfRule>
    <cfRule type="cellIs" dxfId="8982" priority="11740" operator="greaterThan">
      <formula>1</formula>
    </cfRule>
    <cfRule type="cellIs" dxfId="8981" priority="11741" operator="between">
      <formula>0.95</formula>
      <formula>1</formula>
    </cfRule>
    <cfRule type="cellIs" dxfId="8980" priority="11742" stopIfTrue="1" operator="between">
      <formula>0</formula>
      <formula>0.5</formula>
    </cfRule>
  </conditionalFormatting>
  <conditionalFormatting sqref="AD40">
    <cfRule type="cellIs" dxfId="8979" priority="11733" operator="between">
      <formula>0.76</formula>
      <formula>0.95</formula>
    </cfRule>
    <cfRule type="cellIs" dxfId="8978" priority="11734" operator="between">
      <formula>0.51</formula>
      <formula>0.75</formula>
    </cfRule>
    <cfRule type="cellIs" dxfId="8977" priority="11735" operator="greaterThan">
      <formula>1</formula>
    </cfRule>
    <cfRule type="cellIs" dxfId="8976" priority="11736" operator="between">
      <formula>0.95</formula>
      <formula>1</formula>
    </cfRule>
    <cfRule type="cellIs" dxfId="8975" priority="11737" stopIfTrue="1" operator="between">
      <formula>0</formula>
      <formula>0.5</formula>
    </cfRule>
  </conditionalFormatting>
  <conditionalFormatting sqref="AD42">
    <cfRule type="cellIs" dxfId="8974" priority="11728" operator="between">
      <formula>0.76</formula>
      <formula>0.95</formula>
    </cfRule>
    <cfRule type="cellIs" dxfId="8973" priority="11729" operator="between">
      <formula>0.51</formula>
      <formula>0.75</formula>
    </cfRule>
    <cfRule type="cellIs" dxfId="8972" priority="11730" operator="greaterThan">
      <formula>1</formula>
    </cfRule>
    <cfRule type="cellIs" dxfId="8971" priority="11731" operator="between">
      <formula>0.95</formula>
      <formula>1</formula>
    </cfRule>
    <cfRule type="cellIs" dxfId="8970" priority="11732" stopIfTrue="1" operator="between">
      <formula>0</formula>
      <formula>0.5</formula>
    </cfRule>
  </conditionalFormatting>
  <conditionalFormatting sqref="AD41">
    <cfRule type="cellIs" dxfId="8969" priority="11723" operator="between">
      <formula>0.76</formula>
      <formula>0.95</formula>
    </cfRule>
    <cfRule type="cellIs" dxfId="8968" priority="11724" operator="between">
      <formula>0.51</formula>
      <formula>0.75</formula>
    </cfRule>
    <cfRule type="cellIs" dxfId="8967" priority="11725" operator="greaterThan">
      <formula>1</formula>
    </cfRule>
    <cfRule type="cellIs" dxfId="8966" priority="11726" operator="between">
      <formula>0.95</formula>
      <formula>1</formula>
    </cfRule>
    <cfRule type="cellIs" dxfId="8965" priority="11727" stopIfTrue="1" operator="between">
      <formula>0</formula>
      <formula>0.5</formula>
    </cfRule>
  </conditionalFormatting>
  <conditionalFormatting sqref="AD43">
    <cfRule type="cellIs" dxfId="8964" priority="11718" operator="between">
      <formula>0.76</formula>
      <formula>0.95</formula>
    </cfRule>
    <cfRule type="cellIs" dxfId="8963" priority="11719" operator="between">
      <formula>0.51</formula>
      <formula>0.75</formula>
    </cfRule>
    <cfRule type="cellIs" dxfId="8962" priority="11720" operator="greaterThan">
      <formula>1</formula>
    </cfRule>
    <cfRule type="cellIs" dxfId="8961" priority="11721" operator="between">
      <formula>0.95</formula>
      <formula>1</formula>
    </cfRule>
    <cfRule type="cellIs" dxfId="8960" priority="11722" stopIfTrue="1" operator="between">
      <formula>0</formula>
      <formula>0.5</formula>
    </cfRule>
  </conditionalFormatting>
  <conditionalFormatting sqref="AD44">
    <cfRule type="cellIs" dxfId="8959" priority="11713" operator="between">
      <formula>0.76</formula>
      <formula>0.95</formula>
    </cfRule>
    <cfRule type="cellIs" dxfId="8958" priority="11714" operator="between">
      <formula>0.51</formula>
      <formula>0.75</formula>
    </cfRule>
    <cfRule type="cellIs" dxfId="8957" priority="11715" operator="greaterThan">
      <formula>1</formula>
    </cfRule>
    <cfRule type="cellIs" dxfId="8956" priority="11716" operator="between">
      <formula>0.95</formula>
      <formula>1</formula>
    </cfRule>
    <cfRule type="cellIs" dxfId="8955" priority="11717" stopIfTrue="1" operator="between">
      <formula>0</formula>
      <formula>0.5</formula>
    </cfRule>
  </conditionalFormatting>
  <conditionalFormatting sqref="AD45">
    <cfRule type="cellIs" dxfId="8954" priority="11708" operator="between">
      <formula>0.76</formula>
      <formula>0.95</formula>
    </cfRule>
    <cfRule type="cellIs" dxfId="8953" priority="11709" operator="between">
      <formula>0.51</formula>
      <formula>0.75</formula>
    </cfRule>
    <cfRule type="cellIs" dxfId="8952" priority="11710" operator="greaterThan">
      <formula>1</formula>
    </cfRule>
    <cfRule type="cellIs" dxfId="8951" priority="11711" operator="between">
      <formula>0.95</formula>
      <formula>1</formula>
    </cfRule>
    <cfRule type="cellIs" dxfId="8950" priority="11712" stopIfTrue="1" operator="between">
      <formula>0</formula>
      <formula>0.5</formula>
    </cfRule>
  </conditionalFormatting>
  <conditionalFormatting sqref="AD47">
    <cfRule type="cellIs" dxfId="8949" priority="11703" operator="between">
      <formula>0.76</formula>
      <formula>0.95</formula>
    </cfRule>
    <cfRule type="cellIs" dxfId="8948" priority="11704" operator="between">
      <formula>0.51</formula>
      <formula>0.75</formula>
    </cfRule>
    <cfRule type="cellIs" dxfId="8947" priority="11705" operator="greaterThan">
      <formula>1</formula>
    </cfRule>
    <cfRule type="cellIs" dxfId="8946" priority="11706" operator="between">
      <formula>0.95</formula>
      <formula>1</formula>
    </cfRule>
    <cfRule type="cellIs" dxfId="8945" priority="11707" stopIfTrue="1" operator="between">
      <formula>0</formula>
      <formula>0.5</formula>
    </cfRule>
  </conditionalFormatting>
  <conditionalFormatting sqref="AD46">
    <cfRule type="cellIs" dxfId="8944" priority="11698" operator="between">
      <formula>0.76</formula>
      <formula>0.95</formula>
    </cfRule>
    <cfRule type="cellIs" dxfId="8943" priority="11699" operator="between">
      <formula>0.51</formula>
      <formula>0.75</formula>
    </cfRule>
    <cfRule type="cellIs" dxfId="8942" priority="11700" operator="greaterThan">
      <formula>1</formula>
    </cfRule>
    <cfRule type="cellIs" dxfId="8941" priority="11701" operator="between">
      <formula>0.95</formula>
      <formula>1</formula>
    </cfRule>
    <cfRule type="cellIs" dxfId="8940" priority="11702" stopIfTrue="1" operator="between">
      <formula>0</formula>
      <formula>0.5</formula>
    </cfRule>
  </conditionalFormatting>
  <conditionalFormatting sqref="AD48">
    <cfRule type="cellIs" dxfId="8939" priority="11693" operator="between">
      <formula>0.76</formula>
      <formula>0.95</formula>
    </cfRule>
    <cfRule type="cellIs" dxfId="8938" priority="11694" operator="between">
      <formula>0.51</formula>
      <formula>0.75</formula>
    </cfRule>
    <cfRule type="cellIs" dxfId="8937" priority="11695" operator="greaterThan">
      <formula>1</formula>
    </cfRule>
    <cfRule type="cellIs" dxfId="8936" priority="11696" operator="between">
      <formula>0.95</formula>
      <formula>1</formula>
    </cfRule>
    <cfRule type="cellIs" dxfId="8935" priority="11697" stopIfTrue="1" operator="between">
      <formula>0</formula>
      <formula>0.5</formula>
    </cfRule>
  </conditionalFormatting>
  <conditionalFormatting sqref="AD49">
    <cfRule type="cellIs" dxfId="8934" priority="11688" operator="between">
      <formula>0.76</formula>
      <formula>0.95</formula>
    </cfRule>
    <cfRule type="cellIs" dxfId="8933" priority="11689" operator="between">
      <formula>0.51</formula>
      <formula>0.75</formula>
    </cfRule>
    <cfRule type="cellIs" dxfId="8932" priority="11690" operator="greaterThan">
      <formula>1</formula>
    </cfRule>
    <cfRule type="cellIs" dxfId="8931" priority="11691" operator="between">
      <formula>0.95</formula>
      <formula>1</formula>
    </cfRule>
    <cfRule type="cellIs" dxfId="8930" priority="11692" stopIfTrue="1" operator="between">
      <formula>0</formula>
      <formula>0.5</formula>
    </cfRule>
  </conditionalFormatting>
  <conditionalFormatting sqref="AD50">
    <cfRule type="cellIs" dxfId="8929" priority="11683" operator="between">
      <formula>0.76</formula>
      <formula>0.95</formula>
    </cfRule>
    <cfRule type="cellIs" dxfId="8928" priority="11684" operator="between">
      <formula>0.51</formula>
      <formula>0.75</formula>
    </cfRule>
    <cfRule type="cellIs" dxfId="8927" priority="11685" operator="greaterThan">
      <formula>1</formula>
    </cfRule>
    <cfRule type="cellIs" dxfId="8926" priority="11686" operator="between">
      <formula>0.95</formula>
      <formula>1</formula>
    </cfRule>
    <cfRule type="cellIs" dxfId="8925" priority="11687" stopIfTrue="1" operator="between">
      <formula>0</formula>
      <formula>0.5</formula>
    </cfRule>
  </conditionalFormatting>
  <conditionalFormatting sqref="AD51">
    <cfRule type="cellIs" dxfId="8924" priority="11678" operator="between">
      <formula>0.76</formula>
      <formula>0.95</formula>
    </cfRule>
    <cfRule type="cellIs" dxfId="8923" priority="11679" operator="between">
      <formula>0.51</formula>
      <formula>0.75</formula>
    </cfRule>
    <cfRule type="cellIs" dxfId="8922" priority="11680" operator="greaterThan">
      <formula>1</formula>
    </cfRule>
    <cfRule type="cellIs" dxfId="8921" priority="11681" operator="between">
      <formula>0.95</formula>
      <formula>1</formula>
    </cfRule>
    <cfRule type="cellIs" dxfId="8920" priority="11682" stopIfTrue="1" operator="between">
      <formula>0</formula>
      <formula>0.5</formula>
    </cfRule>
  </conditionalFormatting>
  <conditionalFormatting sqref="AD52">
    <cfRule type="cellIs" dxfId="8919" priority="11673" operator="between">
      <formula>0.76</formula>
      <formula>0.95</formula>
    </cfRule>
    <cfRule type="cellIs" dxfId="8918" priority="11674" operator="between">
      <formula>0.51</formula>
      <formula>0.75</formula>
    </cfRule>
    <cfRule type="cellIs" dxfId="8917" priority="11675" operator="greaterThan">
      <formula>1</formula>
    </cfRule>
    <cfRule type="cellIs" dxfId="8916" priority="11676" operator="between">
      <formula>0.95</formula>
      <formula>1</formula>
    </cfRule>
    <cfRule type="cellIs" dxfId="8915" priority="11677" stopIfTrue="1" operator="between">
      <formula>0</formula>
      <formula>0.5</formula>
    </cfRule>
  </conditionalFormatting>
  <conditionalFormatting sqref="AD53">
    <cfRule type="cellIs" dxfId="8914" priority="11668" operator="between">
      <formula>0.76</formula>
      <formula>0.95</formula>
    </cfRule>
    <cfRule type="cellIs" dxfId="8913" priority="11669" operator="between">
      <formula>0.51</formula>
      <formula>0.75</formula>
    </cfRule>
    <cfRule type="cellIs" dxfId="8912" priority="11670" operator="greaterThan">
      <formula>1</formula>
    </cfRule>
    <cfRule type="cellIs" dxfId="8911" priority="11671" operator="between">
      <formula>0.95</formula>
      <formula>1</formula>
    </cfRule>
    <cfRule type="cellIs" dxfId="8910" priority="11672" stopIfTrue="1" operator="between">
      <formula>0</formula>
      <formula>0.5</formula>
    </cfRule>
  </conditionalFormatting>
  <conditionalFormatting sqref="AD54">
    <cfRule type="cellIs" dxfId="8909" priority="11663" operator="between">
      <formula>0.76</formula>
      <formula>0.95</formula>
    </cfRule>
    <cfRule type="cellIs" dxfId="8908" priority="11664" operator="between">
      <formula>0.51</formula>
      <formula>0.75</formula>
    </cfRule>
    <cfRule type="cellIs" dxfId="8907" priority="11665" operator="greaterThan">
      <formula>1</formula>
    </cfRule>
    <cfRule type="cellIs" dxfId="8906" priority="11666" operator="between">
      <formula>0.95</formula>
      <formula>1</formula>
    </cfRule>
    <cfRule type="cellIs" dxfId="8905" priority="11667" stopIfTrue="1" operator="between">
      <formula>0</formula>
      <formula>0.5</formula>
    </cfRule>
  </conditionalFormatting>
  <conditionalFormatting sqref="AD55">
    <cfRule type="cellIs" dxfId="8904" priority="11658" operator="between">
      <formula>0.76</formula>
      <formula>0.95</formula>
    </cfRule>
    <cfRule type="cellIs" dxfId="8903" priority="11659" operator="between">
      <formula>0.51</formula>
      <formula>0.75</formula>
    </cfRule>
    <cfRule type="cellIs" dxfId="8902" priority="11660" operator="greaterThan">
      <formula>1</formula>
    </cfRule>
    <cfRule type="cellIs" dxfId="8901" priority="11661" operator="between">
      <formula>0.95</formula>
      <formula>1</formula>
    </cfRule>
    <cfRule type="cellIs" dxfId="8900" priority="11662" stopIfTrue="1" operator="between">
      <formula>0</formula>
      <formula>0.5</formula>
    </cfRule>
  </conditionalFormatting>
  <conditionalFormatting sqref="AD56">
    <cfRule type="cellIs" dxfId="8899" priority="11653" operator="between">
      <formula>0.76</formula>
      <formula>0.95</formula>
    </cfRule>
    <cfRule type="cellIs" dxfId="8898" priority="11654" operator="between">
      <formula>0.51</formula>
      <formula>0.75</formula>
    </cfRule>
    <cfRule type="cellIs" dxfId="8897" priority="11655" operator="greaterThan">
      <formula>1</formula>
    </cfRule>
    <cfRule type="cellIs" dxfId="8896" priority="11656" operator="between">
      <formula>0.95</formula>
      <formula>1</formula>
    </cfRule>
    <cfRule type="cellIs" dxfId="8895" priority="11657" stopIfTrue="1" operator="between">
      <formula>0</formula>
      <formula>0.5</formula>
    </cfRule>
  </conditionalFormatting>
  <conditionalFormatting sqref="AD57">
    <cfRule type="cellIs" dxfId="8894" priority="11648" operator="between">
      <formula>0.76</formula>
      <formula>0.95</formula>
    </cfRule>
    <cfRule type="cellIs" dxfId="8893" priority="11649" operator="between">
      <formula>0.51</formula>
      <formula>0.75</formula>
    </cfRule>
    <cfRule type="cellIs" dxfId="8892" priority="11650" operator="greaterThan">
      <formula>1</formula>
    </cfRule>
    <cfRule type="cellIs" dxfId="8891" priority="11651" operator="between">
      <formula>0.95</formula>
      <formula>1</formula>
    </cfRule>
    <cfRule type="cellIs" dxfId="8890" priority="11652" stopIfTrue="1" operator="between">
      <formula>0</formula>
      <formula>0.5</formula>
    </cfRule>
  </conditionalFormatting>
  <conditionalFormatting sqref="AD58">
    <cfRule type="cellIs" dxfId="8889" priority="11643" operator="between">
      <formula>0.76</formula>
      <formula>0.95</formula>
    </cfRule>
    <cfRule type="cellIs" dxfId="8888" priority="11644" operator="between">
      <formula>0.51</formula>
      <formula>0.75</formula>
    </cfRule>
    <cfRule type="cellIs" dxfId="8887" priority="11645" operator="greaterThan">
      <formula>1</formula>
    </cfRule>
    <cfRule type="cellIs" dxfId="8886" priority="11646" operator="between">
      <formula>0.95</formula>
      <formula>1</formula>
    </cfRule>
    <cfRule type="cellIs" dxfId="8885" priority="11647" stopIfTrue="1" operator="between">
      <formula>0</formula>
      <formula>0.5</formula>
    </cfRule>
  </conditionalFormatting>
  <conditionalFormatting sqref="AD59">
    <cfRule type="cellIs" dxfId="8884" priority="11628" operator="between">
      <formula>0.76</formula>
      <formula>0.95</formula>
    </cfRule>
    <cfRule type="cellIs" dxfId="8883" priority="11629" operator="between">
      <formula>0.51</formula>
      <formula>0.75</formula>
    </cfRule>
    <cfRule type="cellIs" dxfId="8882" priority="11630" operator="greaterThan">
      <formula>1</formula>
    </cfRule>
    <cfRule type="cellIs" dxfId="8881" priority="11631" operator="between">
      <formula>0.95</formula>
      <formula>1</formula>
    </cfRule>
    <cfRule type="cellIs" dxfId="8880" priority="11632" stopIfTrue="1" operator="between">
      <formula>0</formula>
      <formula>0.5</formula>
    </cfRule>
  </conditionalFormatting>
  <conditionalFormatting sqref="AD60">
    <cfRule type="cellIs" dxfId="8879" priority="11623" operator="between">
      <formula>0.76</formula>
      <formula>0.95</formula>
    </cfRule>
    <cfRule type="cellIs" dxfId="8878" priority="11624" operator="between">
      <formula>0.51</formula>
      <formula>0.75</formula>
    </cfRule>
    <cfRule type="cellIs" dxfId="8877" priority="11625" operator="greaterThan">
      <formula>1</formula>
    </cfRule>
    <cfRule type="cellIs" dxfId="8876" priority="11626" operator="between">
      <formula>0.95</formula>
      <formula>1</formula>
    </cfRule>
    <cfRule type="cellIs" dxfId="8875" priority="11627" stopIfTrue="1" operator="between">
      <formula>0</formula>
      <formula>0.5</formula>
    </cfRule>
  </conditionalFormatting>
  <conditionalFormatting sqref="AD61">
    <cfRule type="cellIs" dxfId="8874" priority="11618" operator="between">
      <formula>0.76</formula>
      <formula>0.95</formula>
    </cfRule>
    <cfRule type="cellIs" dxfId="8873" priority="11619" operator="between">
      <formula>0.51</formula>
      <formula>0.75</formula>
    </cfRule>
    <cfRule type="cellIs" dxfId="8872" priority="11620" operator="greaterThan">
      <formula>1</formula>
    </cfRule>
    <cfRule type="cellIs" dxfId="8871" priority="11621" operator="between">
      <formula>0.95</formula>
      <formula>1</formula>
    </cfRule>
    <cfRule type="cellIs" dxfId="8870" priority="11622" stopIfTrue="1" operator="between">
      <formula>0</formula>
      <formula>0.5</formula>
    </cfRule>
  </conditionalFormatting>
  <conditionalFormatting sqref="AD62">
    <cfRule type="cellIs" dxfId="8869" priority="11608" operator="between">
      <formula>0.76</formula>
      <formula>0.95</formula>
    </cfRule>
    <cfRule type="cellIs" dxfId="8868" priority="11609" operator="between">
      <formula>0.51</formula>
      <formula>0.75</formula>
    </cfRule>
    <cfRule type="cellIs" dxfId="8867" priority="11610" operator="greaterThan">
      <formula>1</formula>
    </cfRule>
    <cfRule type="cellIs" dxfId="8866" priority="11611" operator="between">
      <formula>0.95</formula>
      <formula>1</formula>
    </cfRule>
    <cfRule type="cellIs" dxfId="8865" priority="11612" stopIfTrue="1" operator="between">
      <formula>0</formula>
      <formula>0.5</formula>
    </cfRule>
  </conditionalFormatting>
  <conditionalFormatting sqref="AD64">
    <cfRule type="cellIs" dxfId="8864" priority="11603" operator="between">
      <formula>0.76</formula>
      <formula>0.95</formula>
    </cfRule>
    <cfRule type="cellIs" dxfId="8863" priority="11604" operator="between">
      <formula>0.51</formula>
      <formula>0.75</formula>
    </cfRule>
    <cfRule type="cellIs" dxfId="8862" priority="11605" operator="greaterThan">
      <formula>1</formula>
    </cfRule>
    <cfRule type="cellIs" dxfId="8861" priority="11606" operator="between">
      <formula>0.95</formula>
      <formula>1</formula>
    </cfRule>
    <cfRule type="cellIs" dxfId="8860" priority="11607" stopIfTrue="1" operator="between">
      <formula>0</formula>
      <formula>0.5</formula>
    </cfRule>
  </conditionalFormatting>
  <conditionalFormatting sqref="AD65">
    <cfRule type="cellIs" dxfId="8859" priority="11598" operator="between">
      <formula>0.76</formula>
      <formula>0.95</formula>
    </cfRule>
    <cfRule type="cellIs" dxfId="8858" priority="11599" operator="between">
      <formula>0.51</formula>
      <formula>0.75</formula>
    </cfRule>
    <cfRule type="cellIs" dxfId="8857" priority="11600" operator="greaterThan">
      <formula>1</formula>
    </cfRule>
    <cfRule type="cellIs" dxfId="8856" priority="11601" operator="between">
      <formula>0.95</formula>
      <formula>1</formula>
    </cfRule>
    <cfRule type="cellIs" dxfId="8855" priority="11602" stopIfTrue="1" operator="between">
      <formula>0</formula>
      <formula>0.5</formula>
    </cfRule>
  </conditionalFormatting>
  <conditionalFormatting sqref="AD66">
    <cfRule type="cellIs" dxfId="8854" priority="11593" operator="between">
      <formula>0.76</formula>
      <formula>0.95</formula>
    </cfRule>
    <cfRule type="cellIs" dxfId="8853" priority="11594" operator="between">
      <formula>0.51</formula>
      <formula>0.75</formula>
    </cfRule>
    <cfRule type="cellIs" dxfId="8852" priority="11595" operator="greaterThan">
      <formula>1</formula>
    </cfRule>
    <cfRule type="cellIs" dxfId="8851" priority="11596" operator="between">
      <formula>0.95</formula>
      <formula>1</formula>
    </cfRule>
    <cfRule type="cellIs" dxfId="8850" priority="11597" stopIfTrue="1" operator="between">
      <formula>0</formula>
      <formula>0.5</formula>
    </cfRule>
  </conditionalFormatting>
  <conditionalFormatting sqref="AD67">
    <cfRule type="cellIs" dxfId="8849" priority="11588" operator="between">
      <formula>0.76</formula>
      <formula>0.95</formula>
    </cfRule>
    <cfRule type="cellIs" dxfId="8848" priority="11589" operator="between">
      <formula>0.51</formula>
      <formula>0.75</formula>
    </cfRule>
    <cfRule type="cellIs" dxfId="8847" priority="11590" operator="greaterThan">
      <formula>1</formula>
    </cfRule>
    <cfRule type="cellIs" dxfId="8846" priority="11591" operator="between">
      <formula>0.95</formula>
      <formula>1</formula>
    </cfRule>
    <cfRule type="cellIs" dxfId="8845" priority="11592" stopIfTrue="1" operator="between">
      <formula>0</formula>
      <formula>0.5</formula>
    </cfRule>
  </conditionalFormatting>
  <conditionalFormatting sqref="AD68">
    <cfRule type="cellIs" dxfId="8844" priority="11583" operator="between">
      <formula>0.76</formula>
      <formula>0.95</formula>
    </cfRule>
    <cfRule type="cellIs" dxfId="8843" priority="11584" operator="between">
      <formula>0.51</formula>
      <formula>0.75</formula>
    </cfRule>
    <cfRule type="cellIs" dxfId="8842" priority="11585" operator="greaterThan">
      <formula>1</formula>
    </cfRule>
    <cfRule type="cellIs" dxfId="8841" priority="11586" operator="between">
      <formula>0.95</formula>
      <formula>1</formula>
    </cfRule>
    <cfRule type="cellIs" dxfId="8840" priority="11587" stopIfTrue="1" operator="between">
      <formula>0</formula>
      <formula>0.5</formula>
    </cfRule>
  </conditionalFormatting>
  <conditionalFormatting sqref="AD69">
    <cfRule type="cellIs" dxfId="8839" priority="11578" operator="between">
      <formula>0.76</formula>
      <formula>0.95</formula>
    </cfRule>
    <cfRule type="cellIs" dxfId="8838" priority="11579" operator="between">
      <formula>0.51</formula>
      <formula>0.75</formula>
    </cfRule>
    <cfRule type="cellIs" dxfId="8837" priority="11580" operator="greaterThan">
      <formula>1</formula>
    </cfRule>
    <cfRule type="cellIs" dxfId="8836" priority="11581" operator="between">
      <formula>0.95</formula>
      <formula>1</formula>
    </cfRule>
    <cfRule type="cellIs" dxfId="8835" priority="11582" stopIfTrue="1" operator="between">
      <formula>0</formula>
      <formula>0.5</formula>
    </cfRule>
  </conditionalFormatting>
  <conditionalFormatting sqref="AD70">
    <cfRule type="cellIs" dxfId="8834" priority="11573" operator="between">
      <formula>0.76</formula>
      <formula>0.95</formula>
    </cfRule>
    <cfRule type="cellIs" dxfId="8833" priority="11574" operator="between">
      <formula>0.51</formula>
      <formula>0.75</formula>
    </cfRule>
    <cfRule type="cellIs" dxfId="8832" priority="11575" operator="greaterThan">
      <formula>1</formula>
    </cfRule>
    <cfRule type="cellIs" dxfId="8831" priority="11576" operator="between">
      <formula>0.95</formula>
      <formula>1</formula>
    </cfRule>
    <cfRule type="cellIs" dxfId="8830" priority="11577" stopIfTrue="1" operator="between">
      <formula>0</formula>
      <formula>0.5</formula>
    </cfRule>
  </conditionalFormatting>
  <conditionalFormatting sqref="AD71">
    <cfRule type="cellIs" dxfId="8829" priority="11568" operator="between">
      <formula>0.76</formula>
      <formula>0.95</formula>
    </cfRule>
    <cfRule type="cellIs" dxfId="8828" priority="11569" operator="between">
      <formula>0.51</formula>
      <formula>0.75</formula>
    </cfRule>
    <cfRule type="cellIs" dxfId="8827" priority="11570" operator="greaterThan">
      <formula>1</formula>
    </cfRule>
    <cfRule type="cellIs" dxfId="8826" priority="11571" operator="between">
      <formula>0.95</formula>
      <formula>1</formula>
    </cfRule>
    <cfRule type="cellIs" dxfId="8825" priority="11572" stopIfTrue="1" operator="between">
      <formula>0</formula>
      <formula>0.5</formula>
    </cfRule>
  </conditionalFormatting>
  <conditionalFormatting sqref="AD72">
    <cfRule type="cellIs" dxfId="8824" priority="11563" operator="between">
      <formula>0.76</formula>
      <formula>0.95</formula>
    </cfRule>
    <cfRule type="cellIs" dxfId="8823" priority="11564" operator="between">
      <formula>0.51</formula>
      <formula>0.75</formula>
    </cfRule>
    <cfRule type="cellIs" dxfId="8822" priority="11565" operator="greaterThan">
      <formula>1</formula>
    </cfRule>
    <cfRule type="cellIs" dxfId="8821" priority="11566" operator="between">
      <formula>0.95</formula>
      <formula>1</formula>
    </cfRule>
    <cfRule type="cellIs" dxfId="8820" priority="11567" stopIfTrue="1" operator="between">
      <formula>0</formula>
      <formula>0.5</formula>
    </cfRule>
  </conditionalFormatting>
  <conditionalFormatting sqref="AD75">
    <cfRule type="cellIs" dxfId="8819" priority="11558" operator="between">
      <formula>0.76</formula>
      <formula>0.95</formula>
    </cfRule>
    <cfRule type="cellIs" dxfId="8818" priority="11559" operator="between">
      <formula>0.51</formula>
      <formula>0.75</formula>
    </cfRule>
    <cfRule type="cellIs" dxfId="8817" priority="11560" operator="greaterThan">
      <formula>1</formula>
    </cfRule>
    <cfRule type="cellIs" dxfId="8816" priority="11561" operator="between">
      <formula>0.95</formula>
      <formula>1</formula>
    </cfRule>
    <cfRule type="cellIs" dxfId="8815" priority="11562" stopIfTrue="1" operator="between">
      <formula>0</formula>
      <formula>0.5</formula>
    </cfRule>
  </conditionalFormatting>
  <conditionalFormatting sqref="AD76">
    <cfRule type="cellIs" dxfId="8814" priority="11553" operator="between">
      <formula>0.76</formula>
      <formula>0.95</formula>
    </cfRule>
    <cfRule type="cellIs" dxfId="8813" priority="11554" operator="between">
      <formula>0.51</formula>
      <formula>0.75</formula>
    </cfRule>
    <cfRule type="cellIs" dxfId="8812" priority="11555" operator="greaterThan">
      <formula>1</formula>
    </cfRule>
    <cfRule type="cellIs" dxfId="8811" priority="11556" operator="between">
      <formula>0.95</formula>
      <formula>1</formula>
    </cfRule>
    <cfRule type="cellIs" dxfId="8810" priority="11557" stopIfTrue="1" operator="between">
      <formula>0</formula>
      <formula>0.5</formula>
    </cfRule>
  </conditionalFormatting>
  <conditionalFormatting sqref="AD77">
    <cfRule type="cellIs" dxfId="8809" priority="11548" operator="between">
      <formula>0.76</formula>
      <formula>0.95</formula>
    </cfRule>
    <cfRule type="cellIs" dxfId="8808" priority="11549" operator="between">
      <formula>0.51</formula>
      <formula>0.75</formula>
    </cfRule>
    <cfRule type="cellIs" dxfId="8807" priority="11550" operator="greaterThan">
      <formula>1</formula>
    </cfRule>
    <cfRule type="cellIs" dxfId="8806" priority="11551" operator="between">
      <formula>0.95</formula>
      <formula>1</formula>
    </cfRule>
    <cfRule type="cellIs" dxfId="8805" priority="11552" stopIfTrue="1" operator="between">
      <formula>0</formula>
      <formula>0.5</formula>
    </cfRule>
  </conditionalFormatting>
  <conditionalFormatting sqref="AD78">
    <cfRule type="cellIs" dxfId="8804" priority="11543" operator="between">
      <formula>0.76</formula>
      <formula>0.95</formula>
    </cfRule>
    <cfRule type="cellIs" dxfId="8803" priority="11544" operator="between">
      <formula>0.51</formula>
      <formula>0.75</formula>
    </cfRule>
    <cfRule type="cellIs" dxfId="8802" priority="11545" operator="greaterThan">
      <formula>1</formula>
    </cfRule>
    <cfRule type="cellIs" dxfId="8801" priority="11546" operator="between">
      <formula>0.95</formula>
      <formula>1</formula>
    </cfRule>
    <cfRule type="cellIs" dxfId="8800" priority="11547" stopIfTrue="1" operator="between">
      <formula>0</formula>
      <formula>0.5</formula>
    </cfRule>
  </conditionalFormatting>
  <conditionalFormatting sqref="AD82">
    <cfRule type="cellIs" dxfId="8799" priority="11538" operator="between">
      <formula>0.76</formula>
      <formula>0.95</formula>
    </cfRule>
    <cfRule type="cellIs" dxfId="8798" priority="11539" operator="between">
      <formula>0.51</formula>
      <formula>0.75</formula>
    </cfRule>
    <cfRule type="cellIs" dxfId="8797" priority="11540" operator="greaterThan">
      <formula>1</formula>
    </cfRule>
    <cfRule type="cellIs" dxfId="8796" priority="11541" operator="between">
      <formula>0.95</formula>
      <formula>1</formula>
    </cfRule>
    <cfRule type="cellIs" dxfId="8795" priority="11542" stopIfTrue="1" operator="between">
      <formula>0</formula>
      <formula>0.5</formula>
    </cfRule>
  </conditionalFormatting>
  <conditionalFormatting sqref="AD81">
    <cfRule type="cellIs" dxfId="8794" priority="11533" operator="between">
      <formula>0.76</formula>
      <formula>0.95</formula>
    </cfRule>
    <cfRule type="cellIs" dxfId="8793" priority="11534" operator="between">
      <formula>0.51</formula>
      <formula>0.75</formula>
    </cfRule>
    <cfRule type="cellIs" dxfId="8792" priority="11535" operator="greaterThan">
      <formula>1</formula>
    </cfRule>
    <cfRule type="cellIs" dxfId="8791" priority="11536" operator="between">
      <formula>0.95</formula>
      <formula>1</formula>
    </cfRule>
    <cfRule type="cellIs" dxfId="8790" priority="11537" stopIfTrue="1" operator="between">
      <formula>0</formula>
      <formula>0.5</formula>
    </cfRule>
  </conditionalFormatting>
  <conditionalFormatting sqref="AD83">
    <cfRule type="cellIs" dxfId="8789" priority="11528" operator="between">
      <formula>0.76</formula>
      <formula>0.95</formula>
    </cfRule>
    <cfRule type="cellIs" dxfId="8788" priority="11529" operator="between">
      <formula>0.51</formula>
      <formula>0.75</formula>
    </cfRule>
    <cfRule type="cellIs" dxfId="8787" priority="11530" operator="greaterThan">
      <formula>1</formula>
    </cfRule>
    <cfRule type="cellIs" dxfId="8786" priority="11531" operator="between">
      <formula>0.95</formula>
      <formula>1</formula>
    </cfRule>
    <cfRule type="cellIs" dxfId="8785" priority="11532" stopIfTrue="1" operator="between">
      <formula>0</formula>
      <formula>0.5</formula>
    </cfRule>
  </conditionalFormatting>
  <conditionalFormatting sqref="AD84">
    <cfRule type="cellIs" dxfId="8784" priority="11523" operator="between">
      <formula>0.76</formula>
      <formula>0.95</formula>
    </cfRule>
    <cfRule type="cellIs" dxfId="8783" priority="11524" operator="between">
      <formula>0.51</formula>
      <formula>0.75</formula>
    </cfRule>
    <cfRule type="cellIs" dxfId="8782" priority="11525" operator="greaterThan">
      <formula>1</formula>
    </cfRule>
    <cfRule type="cellIs" dxfId="8781" priority="11526" operator="between">
      <formula>0.95</formula>
      <formula>1</formula>
    </cfRule>
    <cfRule type="cellIs" dxfId="8780" priority="11527" stopIfTrue="1" operator="between">
      <formula>0</formula>
      <formula>0.5</formula>
    </cfRule>
  </conditionalFormatting>
  <conditionalFormatting sqref="AD85">
    <cfRule type="cellIs" dxfId="8779" priority="11518" operator="between">
      <formula>0.76</formula>
      <formula>0.95</formula>
    </cfRule>
    <cfRule type="cellIs" dxfId="8778" priority="11519" operator="between">
      <formula>0.51</formula>
      <formula>0.75</formula>
    </cfRule>
    <cfRule type="cellIs" dxfId="8777" priority="11520" operator="greaterThan">
      <formula>1</formula>
    </cfRule>
    <cfRule type="cellIs" dxfId="8776" priority="11521" operator="between">
      <formula>0.95</formula>
      <formula>1</formula>
    </cfRule>
    <cfRule type="cellIs" dxfId="8775" priority="11522" stopIfTrue="1" operator="between">
      <formula>0</formula>
      <formula>0.5</formula>
    </cfRule>
  </conditionalFormatting>
  <conditionalFormatting sqref="AD86">
    <cfRule type="cellIs" dxfId="8774" priority="11513" operator="between">
      <formula>0.76</formula>
      <formula>0.95</formula>
    </cfRule>
    <cfRule type="cellIs" dxfId="8773" priority="11514" operator="between">
      <formula>0.51</formula>
      <formula>0.75</formula>
    </cfRule>
    <cfRule type="cellIs" dxfId="8772" priority="11515" operator="greaterThan">
      <formula>1</formula>
    </cfRule>
    <cfRule type="cellIs" dxfId="8771" priority="11516" operator="between">
      <formula>0.95</formula>
      <formula>1</formula>
    </cfRule>
    <cfRule type="cellIs" dxfId="8770" priority="11517" stopIfTrue="1" operator="between">
      <formula>0</formula>
      <formula>0.5</formula>
    </cfRule>
  </conditionalFormatting>
  <conditionalFormatting sqref="AD91">
    <cfRule type="cellIs" dxfId="8769" priority="11493" operator="between">
      <formula>0.76</formula>
      <formula>0.95</formula>
    </cfRule>
    <cfRule type="cellIs" dxfId="8768" priority="11494" operator="between">
      <formula>0.51</formula>
      <formula>0.75</formula>
    </cfRule>
    <cfRule type="cellIs" dxfId="8767" priority="11495" operator="greaterThan">
      <formula>1</formula>
    </cfRule>
    <cfRule type="cellIs" dxfId="8766" priority="11496" operator="between">
      <formula>0.95</formula>
      <formula>1</formula>
    </cfRule>
    <cfRule type="cellIs" dxfId="8765" priority="11497" stopIfTrue="1" operator="between">
      <formula>0</formula>
      <formula>0.5</formula>
    </cfRule>
  </conditionalFormatting>
  <conditionalFormatting sqref="AD95">
    <cfRule type="cellIs" dxfId="8764" priority="11488" operator="between">
      <formula>0.76</formula>
      <formula>0.95</formula>
    </cfRule>
    <cfRule type="cellIs" dxfId="8763" priority="11489" operator="between">
      <formula>0.51</formula>
      <formula>0.75</formula>
    </cfRule>
    <cfRule type="cellIs" dxfId="8762" priority="11490" operator="greaterThan">
      <formula>1</formula>
    </cfRule>
    <cfRule type="cellIs" dxfId="8761" priority="11491" operator="between">
      <formula>0.95</formula>
      <formula>1</formula>
    </cfRule>
    <cfRule type="cellIs" dxfId="8760" priority="11492" stopIfTrue="1" operator="between">
      <formula>0</formula>
      <formula>0.5</formula>
    </cfRule>
  </conditionalFormatting>
  <conditionalFormatting sqref="AD94">
    <cfRule type="cellIs" dxfId="8759" priority="11483" operator="between">
      <formula>0.76</formula>
      <formula>0.95</formula>
    </cfRule>
    <cfRule type="cellIs" dxfId="8758" priority="11484" operator="between">
      <formula>0.51</formula>
      <formula>0.75</formula>
    </cfRule>
    <cfRule type="cellIs" dxfId="8757" priority="11485" operator="greaterThan">
      <formula>1</formula>
    </cfRule>
    <cfRule type="cellIs" dxfId="8756" priority="11486" operator="between">
      <formula>0.95</formula>
      <formula>1</formula>
    </cfRule>
    <cfRule type="cellIs" dxfId="8755" priority="11487" stopIfTrue="1" operator="between">
      <formula>0</formula>
      <formula>0.5</formula>
    </cfRule>
  </conditionalFormatting>
  <conditionalFormatting sqref="AD96">
    <cfRule type="cellIs" dxfId="8754" priority="11478" operator="between">
      <formula>0.76</formula>
      <formula>0.95</formula>
    </cfRule>
    <cfRule type="cellIs" dxfId="8753" priority="11479" operator="between">
      <formula>0.51</formula>
      <formula>0.75</formula>
    </cfRule>
    <cfRule type="cellIs" dxfId="8752" priority="11480" operator="greaterThan">
      <formula>1</formula>
    </cfRule>
    <cfRule type="cellIs" dxfId="8751" priority="11481" operator="between">
      <formula>0.95</formula>
      <formula>1</formula>
    </cfRule>
    <cfRule type="cellIs" dxfId="8750" priority="11482" stopIfTrue="1" operator="between">
      <formula>0</formula>
      <formula>0.5</formula>
    </cfRule>
  </conditionalFormatting>
  <conditionalFormatting sqref="AD97">
    <cfRule type="cellIs" dxfId="8749" priority="11473" operator="between">
      <formula>0.76</formula>
      <formula>0.95</formula>
    </cfRule>
    <cfRule type="cellIs" dxfId="8748" priority="11474" operator="between">
      <formula>0.51</formula>
      <formula>0.75</formula>
    </cfRule>
    <cfRule type="cellIs" dxfId="8747" priority="11475" operator="greaterThan">
      <formula>1</formula>
    </cfRule>
    <cfRule type="cellIs" dxfId="8746" priority="11476" operator="between">
      <formula>0.95</formula>
      <formula>1</formula>
    </cfRule>
    <cfRule type="cellIs" dxfId="8745" priority="11477" stopIfTrue="1" operator="between">
      <formula>0</formula>
      <formula>0.5</formula>
    </cfRule>
  </conditionalFormatting>
  <conditionalFormatting sqref="AD98">
    <cfRule type="cellIs" dxfId="8744" priority="11468" operator="between">
      <formula>0.76</formula>
      <formula>0.95</formula>
    </cfRule>
    <cfRule type="cellIs" dxfId="8743" priority="11469" operator="between">
      <formula>0.51</formula>
      <formula>0.75</formula>
    </cfRule>
    <cfRule type="cellIs" dxfId="8742" priority="11470" operator="greaterThan">
      <formula>1</formula>
    </cfRule>
    <cfRule type="cellIs" dxfId="8741" priority="11471" operator="between">
      <formula>0.95</formula>
      <formula>1</formula>
    </cfRule>
    <cfRule type="cellIs" dxfId="8740" priority="11472" stopIfTrue="1" operator="between">
      <formula>0</formula>
      <formula>0.5</formula>
    </cfRule>
  </conditionalFormatting>
  <conditionalFormatting sqref="AD99">
    <cfRule type="cellIs" dxfId="8739" priority="11463" operator="between">
      <formula>0.76</formula>
      <formula>0.95</formula>
    </cfRule>
    <cfRule type="cellIs" dxfId="8738" priority="11464" operator="between">
      <formula>0.51</formula>
      <formula>0.75</formula>
    </cfRule>
    <cfRule type="cellIs" dxfId="8737" priority="11465" operator="greaterThan">
      <formula>1</formula>
    </cfRule>
    <cfRule type="cellIs" dxfId="8736" priority="11466" operator="between">
      <formula>0.95</formula>
      <formula>1</formula>
    </cfRule>
    <cfRule type="cellIs" dxfId="8735" priority="11467" stopIfTrue="1" operator="between">
      <formula>0</formula>
      <formula>0.5</formula>
    </cfRule>
  </conditionalFormatting>
  <conditionalFormatting sqref="AD101">
    <cfRule type="cellIs" dxfId="8734" priority="11458" operator="between">
      <formula>0.76</formula>
      <formula>0.95</formula>
    </cfRule>
    <cfRule type="cellIs" dxfId="8733" priority="11459" operator="between">
      <formula>0.51</formula>
      <formula>0.75</formula>
    </cfRule>
    <cfRule type="cellIs" dxfId="8732" priority="11460" operator="greaterThan">
      <formula>1</formula>
    </cfRule>
    <cfRule type="cellIs" dxfId="8731" priority="11461" operator="between">
      <formula>0.95</formula>
      <formula>1</formula>
    </cfRule>
    <cfRule type="cellIs" dxfId="8730" priority="11462" stopIfTrue="1" operator="between">
      <formula>0</formula>
      <formula>0.5</formula>
    </cfRule>
  </conditionalFormatting>
  <conditionalFormatting sqref="AD102">
    <cfRule type="cellIs" dxfId="8729" priority="11443" operator="between">
      <formula>0.76</formula>
      <formula>0.95</formula>
    </cfRule>
    <cfRule type="cellIs" dxfId="8728" priority="11444" operator="between">
      <formula>0.51</formula>
      <formula>0.75</formula>
    </cfRule>
    <cfRule type="cellIs" dxfId="8727" priority="11445" operator="greaterThan">
      <formula>1</formula>
    </cfRule>
    <cfRule type="cellIs" dxfId="8726" priority="11446" operator="between">
      <formula>0.95</formula>
      <formula>1</formula>
    </cfRule>
    <cfRule type="cellIs" dxfId="8725" priority="11447" stopIfTrue="1" operator="between">
      <formula>0</formula>
      <formula>0.5</formula>
    </cfRule>
  </conditionalFormatting>
  <conditionalFormatting sqref="AD104">
    <cfRule type="cellIs" dxfId="8724" priority="11438" operator="between">
      <formula>0.76</formula>
      <formula>0.95</formula>
    </cfRule>
    <cfRule type="cellIs" dxfId="8723" priority="11439" operator="between">
      <formula>0.51</formula>
      <formula>0.75</formula>
    </cfRule>
    <cfRule type="cellIs" dxfId="8722" priority="11440" operator="greaterThan">
      <formula>1</formula>
    </cfRule>
    <cfRule type="cellIs" dxfId="8721" priority="11441" operator="between">
      <formula>0.95</formula>
      <formula>1</formula>
    </cfRule>
    <cfRule type="cellIs" dxfId="8720" priority="11442" stopIfTrue="1" operator="between">
      <formula>0</formula>
      <formula>0.5</formula>
    </cfRule>
  </conditionalFormatting>
  <conditionalFormatting sqref="AD106">
    <cfRule type="cellIs" dxfId="8719" priority="11428" operator="between">
      <formula>0.76</formula>
      <formula>0.95</formula>
    </cfRule>
    <cfRule type="cellIs" dxfId="8718" priority="11429" operator="between">
      <formula>0.51</formula>
      <formula>0.75</formula>
    </cfRule>
    <cfRule type="cellIs" dxfId="8717" priority="11430" operator="greaterThan">
      <formula>1</formula>
    </cfRule>
    <cfRule type="cellIs" dxfId="8716" priority="11431" operator="between">
      <formula>0.95</formula>
      <formula>1</formula>
    </cfRule>
    <cfRule type="cellIs" dxfId="8715" priority="11432" stopIfTrue="1" operator="between">
      <formula>0</formula>
      <formula>0.5</formula>
    </cfRule>
  </conditionalFormatting>
  <conditionalFormatting sqref="AD108">
    <cfRule type="cellIs" dxfId="8714" priority="11418" operator="between">
      <formula>0.76</formula>
      <formula>0.95</formula>
    </cfRule>
    <cfRule type="cellIs" dxfId="8713" priority="11419" operator="between">
      <formula>0.51</formula>
      <formula>0.75</formula>
    </cfRule>
    <cfRule type="cellIs" dxfId="8712" priority="11420" operator="greaterThan">
      <formula>1</formula>
    </cfRule>
    <cfRule type="cellIs" dxfId="8711" priority="11421" operator="between">
      <formula>0.95</formula>
      <formula>1</formula>
    </cfRule>
    <cfRule type="cellIs" dxfId="8710" priority="11422" stopIfTrue="1" operator="between">
      <formula>0</formula>
      <formula>0.5</formula>
    </cfRule>
  </conditionalFormatting>
  <conditionalFormatting sqref="AD109">
    <cfRule type="cellIs" dxfId="8709" priority="11413" operator="between">
      <formula>0.76</formula>
      <formula>0.95</formula>
    </cfRule>
    <cfRule type="cellIs" dxfId="8708" priority="11414" operator="between">
      <formula>0.51</formula>
      <formula>0.75</formula>
    </cfRule>
    <cfRule type="cellIs" dxfId="8707" priority="11415" operator="greaterThan">
      <formula>1</formula>
    </cfRule>
    <cfRule type="cellIs" dxfId="8706" priority="11416" operator="between">
      <formula>0.95</formula>
      <formula>1</formula>
    </cfRule>
    <cfRule type="cellIs" dxfId="8705" priority="11417" stopIfTrue="1" operator="between">
      <formula>0</formula>
      <formula>0.5</formula>
    </cfRule>
  </conditionalFormatting>
  <conditionalFormatting sqref="AD110">
    <cfRule type="cellIs" dxfId="8704" priority="11408" operator="between">
      <formula>0.76</formula>
      <formula>0.95</formula>
    </cfRule>
    <cfRule type="cellIs" dxfId="8703" priority="11409" operator="between">
      <formula>0.51</formula>
      <formula>0.75</formula>
    </cfRule>
    <cfRule type="cellIs" dxfId="8702" priority="11410" operator="greaterThan">
      <formula>1</formula>
    </cfRule>
    <cfRule type="cellIs" dxfId="8701" priority="11411" operator="between">
      <formula>0.95</formula>
      <formula>1</formula>
    </cfRule>
    <cfRule type="cellIs" dxfId="8700" priority="11412" stopIfTrue="1" operator="between">
      <formula>0</formula>
      <formula>0.5</formula>
    </cfRule>
  </conditionalFormatting>
  <conditionalFormatting sqref="AD111">
    <cfRule type="cellIs" dxfId="8699" priority="11403" operator="between">
      <formula>0.76</formula>
      <formula>0.95</formula>
    </cfRule>
    <cfRule type="cellIs" dxfId="8698" priority="11404" operator="between">
      <formula>0.51</formula>
      <formula>0.75</formula>
    </cfRule>
    <cfRule type="cellIs" dxfId="8697" priority="11405" operator="greaterThan">
      <formula>1</formula>
    </cfRule>
    <cfRule type="cellIs" dxfId="8696" priority="11406" operator="between">
      <formula>0.95</formula>
      <formula>1</formula>
    </cfRule>
    <cfRule type="cellIs" dxfId="8695" priority="11407" stopIfTrue="1" operator="between">
      <formula>0</formula>
      <formula>0.5</formula>
    </cfRule>
  </conditionalFormatting>
  <conditionalFormatting sqref="AD112">
    <cfRule type="cellIs" dxfId="8694" priority="11398" operator="between">
      <formula>0.76</formula>
      <formula>0.95</formula>
    </cfRule>
    <cfRule type="cellIs" dxfId="8693" priority="11399" operator="between">
      <formula>0.51</formula>
      <formula>0.75</formula>
    </cfRule>
    <cfRule type="cellIs" dxfId="8692" priority="11400" operator="greaterThan">
      <formula>1</formula>
    </cfRule>
    <cfRule type="cellIs" dxfId="8691" priority="11401" operator="between">
      <formula>0.95</formula>
      <formula>1</formula>
    </cfRule>
    <cfRule type="cellIs" dxfId="8690" priority="11402" stopIfTrue="1" operator="between">
      <formula>0</formula>
      <formula>0.5</formula>
    </cfRule>
  </conditionalFormatting>
  <conditionalFormatting sqref="AD114">
    <cfRule type="cellIs" dxfId="8689" priority="11393" operator="between">
      <formula>0.76</formula>
      <formula>0.95</formula>
    </cfRule>
    <cfRule type="cellIs" dxfId="8688" priority="11394" operator="between">
      <formula>0.51</formula>
      <formula>0.75</formula>
    </cfRule>
    <cfRule type="cellIs" dxfId="8687" priority="11395" operator="greaterThan">
      <formula>1</formula>
    </cfRule>
    <cfRule type="cellIs" dxfId="8686" priority="11396" operator="between">
      <formula>0.95</formula>
      <formula>1</formula>
    </cfRule>
    <cfRule type="cellIs" dxfId="8685" priority="11397" stopIfTrue="1" operator="between">
      <formula>0</formula>
      <formula>0.5</formula>
    </cfRule>
  </conditionalFormatting>
  <conditionalFormatting sqref="AD115">
    <cfRule type="cellIs" dxfId="8684" priority="11388" operator="between">
      <formula>0.76</formula>
      <formula>0.95</formula>
    </cfRule>
    <cfRule type="cellIs" dxfId="8683" priority="11389" operator="between">
      <formula>0.51</formula>
      <formula>0.75</formula>
    </cfRule>
    <cfRule type="cellIs" dxfId="8682" priority="11390" operator="greaterThan">
      <formula>1</formula>
    </cfRule>
    <cfRule type="cellIs" dxfId="8681" priority="11391" operator="between">
      <formula>0.95</formula>
      <formula>1</formula>
    </cfRule>
    <cfRule type="cellIs" dxfId="8680" priority="11392" stopIfTrue="1" operator="between">
      <formula>0</formula>
      <formula>0.5</formula>
    </cfRule>
  </conditionalFormatting>
  <conditionalFormatting sqref="AD116">
    <cfRule type="cellIs" dxfId="8679" priority="11383" operator="between">
      <formula>0.76</formula>
      <formula>0.95</formula>
    </cfRule>
    <cfRule type="cellIs" dxfId="8678" priority="11384" operator="between">
      <formula>0.51</formula>
      <formula>0.75</formula>
    </cfRule>
    <cfRule type="cellIs" dxfId="8677" priority="11385" operator="greaterThan">
      <formula>1</formula>
    </cfRule>
    <cfRule type="cellIs" dxfId="8676" priority="11386" operator="between">
      <formula>0.95</formula>
      <formula>1</formula>
    </cfRule>
    <cfRule type="cellIs" dxfId="8675" priority="11387" stopIfTrue="1" operator="between">
      <formula>0</formula>
      <formula>0.5</formula>
    </cfRule>
  </conditionalFormatting>
  <conditionalFormatting sqref="AD117">
    <cfRule type="cellIs" dxfId="8674" priority="11373" operator="between">
      <formula>0.76</formula>
      <formula>0.95</formula>
    </cfRule>
    <cfRule type="cellIs" dxfId="8673" priority="11374" operator="between">
      <formula>0.51</formula>
      <formula>0.75</formula>
    </cfRule>
    <cfRule type="cellIs" dxfId="8672" priority="11375" operator="greaterThan">
      <formula>1</formula>
    </cfRule>
    <cfRule type="cellIs" dxfId="8671" priority="11376" operator="between">
      <formula>0.95</formula>
      <formula>1</formula>
    </cfRule>
    <cfRule type="cellIs" dxfId="8670" priority="11377" stopIfTrue="1" operator="between">
      <formula>0</formula>
      <formula>0.5</formula>
    </cfRule>
  </conditionalFormatting>
  <conditionalFormatting sqref="AD121">
    <cfRule type="cellIs" dxfId="8669" priority="11368" operator="between">
      <formula>0.76</formula>
      <formula>0.95</formula>
    </cfRule>
    <cfRule type="cellIs" dxfId="8668" priority="11369" operator="between">
      <formula>0.51</formula>
      <formula>0.75</formula>
    </cfRule>
    <cfRule type="cellIs" dxfId="8667" priority="11370" operator="greaterThan">
      <formula>1</formula>
    </cfRule>
    <cfRule type="cellIs" dxfId="8666" priority="11371" operator="between">
      <formula>0.95</formula>
      <formula>1</formula>
    </cfRule>
    <cfRule type="cellIs" dxfId="8665" priority="11372" stopIfTrue="1" operator="between">
      <formula>0</formula>
      <formula>0.5</formula>
    </cfRule>
  </conditionalFormatting>
  <conditionalFormatting sqref="AD122">
    <cfRule type="cellIs" dxfId="8664" priority="11363" operator="between">
      <formula>0.76</formula>
      <formula>0.95</formula>
    </cfRule>
    <cfRule type="cellIs" dxfId="8663" priority="11364" operator="between">
      <formula>0.51</formula>
      <formula>0.75</formula>
    </cfRule>
    <cfRule type="cellIs" dxfId="8662" priority="11365" operator="greaterThan">
      <formula>1</formula>
    </cfRule>
    <cfRule type="cellIs" dxfId="8661" priority="11366" operator="between">
      <formula>0.95</formula>
      <formula>1</formula>
    </cfRule>
    <cfRule type="cellIs" dxfId="8660" priority="11367" stopIfTrue="1" operator="between">
      <formula>0</formula>
      <formula>0.5</formula>
    </cfRule>
  </conditionalFormatting>
  <conditionalFormatting sqref="AD123">
    <cfRule type="cellIs" dxfId="8659" priority="11358" operator="between">
      <formula>0.76</formula>
      <formula>0.95</formula>
    </cfRule>
    <cfRule type="cellIs" dxfId="8658" priority="11359" operator="between">
      <formula>0.51</formula>
      <formula>0.75</formula>
    </cfRule>
    <cfRule type="cellIs" dxfId="8657" priority="11360" operator="greaterThan">
      <formula>1</formula>
    </cfRule>
    <cfRule type="cellIs" dxfId="8656" priority="11361" operator="between">
      <formula>0.95</formula>
      <formula>1</formula>
    </cfRule>
    <cfRule type="cellIs" dxfId="8655" priority="11362" stopIfTrue="1" operator="between">
      <formula>0</formula>
      <formula>0.5</formula>
    </cfRule>
  </conditionalFormatting>
  <conditionalFormatting sqref="AD124">
    <cfRule type="cellIs" dxfId="8654" priority="11353" operator="between">
      <formula>0.76</formula>
      <formula>0.95</formula>
    </cfRule>
    <cfRule type="cellIs" dxfId="8653" priority="11354" operator="between">
      <formula>0.51</formula>
      <formula>0.75</formula>
    </cfRule>
    <cfRule type="cellIs" dxfId="8652" priority="11355" operator="greaterThan">
      <formula>1</formula>
    </cfRule>
    <cfRule type="cellIs" dxfId="8651" priority="11356" operator="between">
      <formula>0.95</formula>
      <formula>1</formula>
    </cfRule>
    <cfRule type="cellIs" dxfId="8650" priority="11357" stopIfTrue="1" operator="between">
      <formula>0</formula>
      <formula>0.5</formula>
    </cfRule>
  </conditionalFormatting>
  <conditionalFormatting sqref="AD125">
    <cfRule type="cellIs" dxfId="8649" priority="11348" operator="between">
      <formula>0.76</formula>
      <formula>0.95</formula>
    </cfRule>
    <cfRule type="cellIs" dxfId="8648" priority="11349" operator="between">
      <formula>0.51</formula>
      <formula>0.75</formula>
    </cfRule>
    <cfRule type="cellIs" dxfId="8647" priority="11350" operator="greaterThan">
      <formula>1</formula>
    </cfRule>
    <cfRule type="cellIs" dxfId="8646" priority="11351" operator="between">
      <formula>0.95</formula>
      <formula>1</formula>
    </cfRule>
    <cfRule type="cellIs" dxfId="8645" priority="11352" stopIfTrue="1" operator="between">
      <formula>0</formula>
      <formula>0.5</formula>
    </cfRule>
  </conditionalFormatting>
  <conditionalFormatting sqref="AD126">
    <cfRule type="cellIs" dxfId="8644" priority="11343" operator="between">
      <formula>0.76</formula>
      <formula>0.95</formula>
    </cfRule>
    <cfRule type="cellIs" dxfId="8643" priority="11344" operator="between">
      <formula>0.51</formula>
      <formula>0.75</formula>
    </cfRule>
    <cfRule type="cellIs" dxfId="8642" priority="11345" operator="greaterThan">
      <formula>1</formula>
    </cfRule>
    <cfRule type="cellIs" dxfId="8641" priority="11346" operator="between">
      <formula>0.95</formula>
      <formula>1</formula>
    </cfRule>
    <cfRule type="cellIs" dxfId="8640" priority="11347" stopIfTrue="1" operator="between">
      <formula>0</formula>
      <formula>0.5</formula>
    </cfRule>
  </conditionalFormatting>
  <conditionalFormatting sqref="AD127">
    <cfRule type="cellIs" dxfId="8639" priority="11338" operator="between">
      <formula>0.76</formula>
      <formula>0.95</formula>
    </cfRule>
    <cfRule type="cellIs" dxfId="8638" priority="11339" operator="between">
      <formula>0.51</formula>
      <formula>0.75</formula>
    </cfRule>
    <cfRule type="cellIs" dxfId="8637" priority="11340" operator="greaterThan">
      <formula>1</formula>
    </cfRule>
    <cfRule type="cellIs" dxfId="8636" priority="11341" operator="between">
      <formula>0.95</formula>
      <formula>1</formula>
    </cfRule>
    <cfRule type="cellIs" dxfId="8635" priority="11342" stopIfTrue="1" operator="between">
      <formula>0</formula>
      <formula>0.5</formula>
    </cfRule>
  </conditionalFormatting>
  <conditionalFormatting sqref="AD128">
    <cfRule type="cellIs" dxfId="8634" priority="11333" operator="between">
      <formula>0.76</formula>
      <formula>0.95</formula>
    </cfRule>
    <cfRule type="cellIs" dxfId="8633" priority="11334" operator="between">
      <formula>0.51</formula>
      <formula>0.75</formula>
    </cfRule>
    <cfRule type="cellIs" dxfId="8632" priority="11335" operator="greaterThan">
      <formula>1</formula>
    </cfRule>
    <cfRule type="cellIs" dxfId="8631" priority="11336" operator="between">
      <formula>0.95</formula>
      <formula>1</formula>
    </cfRule>
    <cfRule type="cellIs" dxfId="8630" priority="11337" stopIfTrue="1" operator="between">
      <formula>0</formula>
      <formula>0.5</formula>
    </cfRule>
  </conditionalFormatting>
  <conditionalFormatting sqref="AD129">
    <cfRule type="cellIs" dxfId="8629" priority="11328" operator="between">
      <formula>0.76</formula>
      <formula>0.95</formula>
    </cfRule>
    <cfRule type="cellIs" dxfId="8628" priority="11329" operator="between">
      <formula>0.51</formula>
      <formula>0.75</formula>
    </cfRule>
    <cfRule type="cellIs" dxfId="8627" priority="11330" operator="greaterThan">
      <formula>1</formula>
    </cfRule>
    <cfRule type="cellIs" dxfId="8626" priority="11331" operator="between">
      <formula>0.95</formula>
      <formula>1</formula>
    </cfRule>
    <cfRule type="cellIs" dxfId="8625" priority="11332" stopIfTrue="1" operator="between">
      <formula>0</formula>
      <formula>0.5</formula>
    </cfRule>
  </conditionalFormatting>
  <conditionalFormatting sqref="AD130">
    <cfRule type="cellIs" dxfId="8624" priority="11323" operator="between">
      <formula>0.76</formula>
      <formula>0.95</formula>
    </cfRule>
    <cfRule type="cellIs" dxfId="8623" priority="11324" operator="between">
      <formula>0.51</formula>
      <formula>0.75</formula>
    </cfRule>
    <cfRule type="cellIs" dxfId="8622" priority="11325" operator="greaterThan">
      <formula>1</formula>
    </cfRule>
    <cfRule type="cellIs" dxfId="8621" priority="11326" operator="between">
      <formula>0.95</formula>
      <formula>1</formula>
    </cfRule>
    <cfRule type="cellIs" dxfId="8620" priority="11327" stopIfTrue="1" operator="between">
      <formula>0</formula>
      <formula>0.5</formula>
    </cfRule>
  </conditionalFormatting>
  <conditionalFormatting sqref="AD131">
    <cfRule type="cellIs" dxfId="8619" priority="11318" operator="between">
      <formula>0.76</formula>
      <formula>0.95</formula>
    </cfRule>
    <cfRule type="cellIs" dxfId="8618" priority="11319" operator="between">
      <formula>0.51</formula>
      <formula>0.75</formula>
    </cfRule>
    <cfRule type="cellIs" dxfId="8617" priority="11320" operator="greaterThan">
      <formula>1</formula>
    </cfRule>
    <cfRule type="cellIs" dxfId="8616" priority="11321" operator="between">
      <formula>0.95</formula>
      <formula>1</formula>
    </cfRule>
    <cfRule type="cellIs" dxfId="8615" priority="11322" stopIfTrue="1" operator="between">
      <formula>0</formula>
      <formula>0.5</formula>
    </cfRule>
  </conditionalFormatting>
  <conditionalFormatting sqref="AD132">
    <cfRule type="cellIs" dxfId="8614" priority="11313" operator="between">
      <formula>0.76</formula>
      <formula>0.95</formula>
    </cfRule>
    <cfRule type="cellIs" dxfId="8613" priority="11314" operator="between">
      <formula>0.51</formula>
      <formula>0.75</formula>
    </cfRule>
    <cfRule type="cellIs" dxfId="8612" priority="11315" operator="greaterThan">
      <formula>1</formula>
    </cfRule>
    <cfRule type="cellIs" dxfId="8611" priority="11316" operator="between">
      <formula>0.95</formula>
      <formula>1</formula>
    </cfRule>
    <cfRule type="cellIs" dxfId="8610" priority="11317" stopIfTrue="1" operator="between">
      <formula>0</formula>
      <formula>0.5</formula>
    </cfRule>
  </conditionalFormatting>
  <conditionalFormatting sqref="AD133">
    <cfRule type="cellIs" dxfId="8609" priority="11308" operator="between">
      <formula>0.76</formula>
      <formula>0.95</formula>
    </cfRule>
    <cfRule type="cellIs" dxfId="8608" priority="11309" operator="between">
      <formula>0.51</formula>
      <formula>0.75</formula>
    </cfRule>
    <cfRule type="cellIs" dxfId="8607" priority="11310" operator="greaterThan">
      <formula>1</formula>
    </cfRule>
    <cfRule type="cellIs" dxfId="8606" priority="11311" operator="between">
      <formula>0.95</formula>
      <formula>1</formula>
    </cfRule>
    <cfRule type="cellIs" dxfId="8605" priority="11312" stopIfTrue="1" operator="between">
      <formula>0</formula>
      <formula>0.5</formula>
    </cfRule>
  </conditionalFormatting>
  <conditionalFormatting sqref="AD134">
    <cfRule type="cellIs" dxfId="8604" priority="11303" operator="between">
      <formula>0.76</formula>
      <formula>0.95</formula>
    </cfRule>
    <cfRule type="cellIs" dxfId="8603" priority="11304" operator="between">
      <formula>0.51</formula>
      <formula>0.75</formula>
    </cfRule>
    <cfRule type="cellIs" dxfId="8602" priority="11305" operator="greaterThan">
      <formula>1</formula>
    </cfRule>
    <cfRule type="cellIs" dxfId="8601" priority="11306" operator="between">
      <formula>0.95</formula>
      <formula>1</formula>
    </cfRule>
    <cfRule type="cellIs" dxfId="8600" priority="11307" stopIfTrue="1" operator="between">
      <formula>0</formula>
      <formula>0.5</formula>
    </cfRule>
  </conditionalFormatting>
  <conditionalFormatting sqref="AD135">
    <cfRule type="cellIs" dxfId="8599" priority="11298" operator="between">
      <formula>0.76</formula>
      <formula>0.95</formula>
    </cfRule>
    <cfRule type="cellIs" dxfId="8598" priority="11299" operator="between">
      <formula>0.51</formula>
      <formula>0.75</formula>
    </cfRule>
    <cfRule type="cellIs" dxfId="8597" priority="11300" operator="greaterThan">
      <formula>1</formula>
    </cfRule>
    <cfRule type="cellIs" dxfId="8596" priority="11301" operator="between">
      <formula>0.95</formula>
      <formula>1</formula>
    </cfRule>
    <cfRule type="cellIs" dxfId="8595" priority="11302" stopIfTrue="1" operator="between">
      <formula>0</formula>
      <formula>0.5</formula>
    </cfRule>
  </conditionalFormatting>
  <conditionalFormatting sqref="AD136">
    <cfRule type="cellIs" dxfId="8594" priority="11293" operator="between">
      <formula>0.76</formula>
      <formula>0.95</formula>
    </cfRule>
    <cfRule type="cellIs" dxfId="8593" priority="11294" operator="between">
      <formula>0.51</formula>
      <formula>0.75</formula>
    </cfRule>
    <cfRule type="cellIs" dxfId="8592" priority="11295" operator="greaterThan">
      <formula>1</formula>
    </cfRule>
    <cfRule type="cellIs" dxfId="8591" priority="11296" operator="between">
      <formula>0.95</formula>
      <formula>1</formula>
    </cfRule>
    <cfRule type="cellIs" dxfId="8590" priority="11297" stopIfTrue="1" operator="between">
      <formula>0</formula>
      <formula>0.5</formula>
    </cfRule>
  </conditionalFormatting>
  <conditionalFormatting sqref="AD137">
    <cfRule type="cellIs" dxfId="8589" priority="11288" operator="between">
      <formula>0.76</formula>
      <formula>0.95</formula>
    </cfRule>
    <cfRule type="cellIs" dxfId="8588" priority="11289" operator="between">
      <formula>0.51</formula>
      <formula>0.75</formula>
    </cfRule>
    <cfRule type="cellIs" dxfId="8587" priority="11290" operator="greaterThan">
      <formula>1</formula>
    </cfRule>
    <cfRule type="cellIs" dxfId="8586" priority="11291" operator="between">
      <formula>0.95</formula>
      <formula>1</formula>
    </cfRule>
    <cfRule type="cellIs" dxfId="8585" priority="11292" stopIfTrue="1" operator="between">
      <formula>0</formula>
      <formula>0.5</formula>
    </cfRule>
  </conditionalFormatting>
  <conditionalFormatting sqref="AD138">
    <cfRule type="cellIs" dxfId="8584" priority="11283" operator="between">
      <formula>0.76</formula>
      <formula>0.95</formula>
    </cfRule>
    <cfRule type="cellIs" dxfId="8583" priority="11284" operator="between">
      <formula>0.51</formula>
      <formula>0.75</formula>
    </cfRule>
    <cfRule type="cellIs" dxfId="8582" priority="11285" operator="greaterThan">
      <formula>1</formula>
    </cfRule>
    <cfRule type="cellIs" dxfId="8581" priority="11286" operator="between">
      <formula>0.95</formula>
      <formula>1</formula>
    </cfRule>
    <cfRule type="cellIs" dxfId="8580" priority="11287" stopIfTrue="1" operator="between">
      <formula>0</formula>
      <formula>0.5</formula>
    </cfRule>
  </conditionalFormatting>
  <conditionalFormatting sqref="AD139">
    <cfRule type="cellIs" dxfId="8579" priority="11278" operator="between">
      <formula>0.76</formula>
      <formula>0.95</formula>
    </cfRule>
    <cfRule type="cellIs" dxfId="8578" priority="11279" operator="between">
      <formula>0.51</formula>
      <formula>0.75</formula>
    </cfRule>
    <cfRule type="cellIs" dxfId="8577" priority="11280" operator="greaterThan">
      <formula>1</formula>
    </cfRule>
    <cfRule type="cellIs" dxfId="8576" priority="11281" operator="between">
      <formula>0.95</formula>
      <formula>1</formula>
    </cfRule>
    <cfRule type="cellIs" dxfId="8575" priority="11282" stopIfTrue="1" operator="between">
      <formula>0</formula>
      <formula>0.5</formula>
    </cfRule>
  </conditionalFormatting>
  <conditionalFormatting sqref="AD140">
    <cfRule type="cellIs" dxfId="8574" priority="11273" operator="between">
      <formula>0.76</formula>
      <formula>0.95</formula>
    </cfRule>
    <cfRule type="cellIs" dxfId="8573" priority="11274" operator="between">
      <formula>0.51</formula>
      <formula>0.75</formula>
    </cfRule>
    <cfRule type="cellIs" dxfId="8572" priority="11275" operator="greaterThan">
      <formula>1</formula>
    </cfRule>
    <cfRule type="cellIs" dxfId="8571" priority="11276" operator="between">
      <formula>0.95</formula>
      <formula>1</formula>
    </cfRule>
    <cfRule type="cellIs" dxfId="8570" priority="11277" stopIfTrue="1" operator="between">
      <formula>0</formula>
      <formula>0.5</formula>
    </cfRule>
  </conditionalFormatting>
  <conditionalFormatting sqref="AD142">
    <cfRule type="cellIs" dxfId="8569" priority="11268" operator="between">
      <formula>0.76</formula>
      <formula>0.95</formula>
    </cfRule>
    <cfRule type="cellIs" dxfId="8568" priority="11269" operator="between">
      <formula>0.51</formula>
      <formula>0.75</formula>
    </cfRule>
    <cfRule type="cellIs" dxfId="8567" priority="11270" operator="greaterThan">
      <formula>1</formula>
    </cfRule>
    <cfRule type="cellIs" dxfId="8566" priority="11271" operator="between">
      <formula>0.95</formula>
      <formula>1</formula>
    </cfRule>
    <cfRule type="cellIs" dxfId="8565" priority="11272" stopIfTrue="1" operator="between">
      <formula>0</formula>
      <formula>0.5</formula>
    </cfRule>
  </conditionalFormatting>
  <conditionalFormatting sqref="AD143:AD144">
    <cfRule type="cellIs" dxfId="8564" priority="11258" operator="between">
      <formula>0.76</formula>
      <formula>0.95</formula>
    </cfRule>
    <cfRule type="cellIs" dxfId="8563" priority="11259" operator="between">
      <formula>0.51</formula>
      <formula>0.75</formula>
    </cfRule>
    <cfRule type="cellIs" dxfId="8562" priority="11260" operator="greaterThan">
      <formula>1</formula>
    </cfRule>
    <cfRule type="cellIs" dxfId="8561" priority="11261" operator="between">
      <formula>0.95</formula>
      <formula>1</formula>
    </cfRule>
    <cfRule type="cellIs" dxfId="8560" priority="11262" stopIfTrue="1" operator="between">
      <formula>0</formula>
      <formula>0.5</formula>
    </cfRule>
  </conditionalFormatting>
  <conditionalFormatting sqref="AD145">
    <cfRule type="cellIs" dxfId="8559" priority="11253" operator="between">
      <formula>0.76</formula>
      <formula>0.95</formula>
    </cfRule>
    <cfRule type="cellIs" dxfId="8558" priority="11254" operator="between">
      <formula>0.51</formula>
      <formula>0.75</formula>
    </cfRule>
    <cfRule type="cellIs" dxfId="8557" priority="11255" operator="greaterThan">
      <formula>1</formula>
    </cfRule>
    <cfRule type="cellIs" dxfId="8556" priority="11256" operator="between">
      <formula>0.95</formula>
      <formula>1</formula>
    </cfRule>
    <cfRule type="cellIs" dxfId="8555" priority="11257" stopIfTrue="1" operator="between">
      <formula>0</formula>
      <formula>0.5</formula>
    </cfRule>
  </conditionalFormatting>
  <conditionalFormatting sqref="AD146">
    <cfRule type="cellIs" dxfId="8554" priority="11248" operator="between">
      <formula>0.76</formula>
      <formula>0.95</formula>
    </cfRule>
    <cfRule type="cellIs" dxfId="8553" priority="11249" operator="between">
      <formula>0.51</formula>
      <formula>0.75</formula>
    </cfRule>
    <cfRule type="cellIs" dxfId="8552" priority="11250" operator="greaterThan">
      <formula>1</formula>
    </cfRule>
    <cfRule type="cellIs" dxfId="8551" priority="11251" operator="between">
      <formula>0.95</formula>
      <formula>1</formula>
    </cfRule>
    <cfRule type="cellIs" dxfId="8550" priority="11252" stopIfTrue="1" operator="between">
      <formula>0</formula>
      <formula>0.5</formula>
    </cfRule>
  </conditionalFormatting>
  <conditionalFormatting sqref="AD147">
    <cfRule type="cellIs" dxfId="8549" priority="11243" operator="between">
      <formula>0.76</formula>
      <formula>0.95</formula>
    </cfRule>
    <cfRule type="cellIs" dxfId="8548" priority="11244" operator="between">
      <formula>0.51</formula>
      <formula>0.75</formula>
    </cfRule>
    <cfRule type="cellIs" dxfId="8547" priority="11245" operator="greaterThan">
      <formula>1</formula>
    </cfRule>
    <cfRule type="cellIs" dxfId="8546" priority="11246" operator="between">
      <formula>0.95</formula>
      <formula>1</formula>
    </cfRule>
    <cfRule type="cellIs" dxfId="8545" priority="11247" stopIfTrue="1" operator="between">
      <formula>0</formula>
      <formula>0.5</formula>
    </cfRule>
  </conditionalFormatting>
  <conditionalFormatting sqref="AD148">
    <cfRule type="cellIs" dxfId="8544" priority="11238" operator="between">
      <formula>0.76</formula>
      <formula>0.95</formula>
    </cfRule>
    <cfRule type="cellIs" dxfId="8543" priority="11239" operator="between">
      <formula>0.51</formula>
      <formula>0.75</formula>
    </cfRule>
    <cfRule type="cellIs" dxfId="8542" priority="11240" operator="greaterThan">
      <formula>1</formula>
    </cfRule>
    <cfRule type="cellIs" dxfId="8541" priority="11241" operator="between">
      <formula>0.95</formula>
      <formula>1</formula>
    </cfRule>
    <cfRule type="cellIs" dxfId="8540" priority="11242" stopIfTrue="1" operator="between">
      <formula>0</formula>
      <formula>0.5</formula>
    </cfRule>
  </conditionalFormatting>
  <conditionalFormatting sqref="AD149">
    <cfRule type="cellIs" dxfId="8539" priority="11233" operator="between">
      <formula>0.76</formula>
      <formula>0.95</formula>
    </cfRule>
    <cfRule type="cellIs" dxfId="8538" priority="11234" operator="between">
      <formula>0.51</formula>
      <formula>0.75</formula>
    </cfRule>
    <cfRule type="cellIs" dxfId="8537" priority="11235" operator="greaterThan">
      <formula>1</formula>
    </cfRule>
    <cfRule type="cellIs" dxfId="8536" priority="11236" operator="between">
      <formula>0.95</formula>
      <formula>1</formula>
    </cfRule>
    <cfRule type="cellIs" dxfId="8535" priority="11237" stopIfTrue="1" operator="between">
      <formula>0</formula>
      <formula>0.5</formula>
    </cfRule>
  </conditionalFormatting>
  <conditionalFormatting sqref="AD150">
    <cfRule type="cellIs" dxfId="8534" priority="11228" operator="between">
      <formula>0.76</formula>
      <formula>0.95</formula>
    </cfRule>
    <cfRule type="cellIs" dxfId="8533" priority="11229" operator="between">
      <formula>0.51</formula>
      <formula>0.75</formula>
    </cfRule>
    <cfRule type="cellIs" dxfId="8532" priority="11230" operator="greaterThan">
      <formula>1</formula>
    </cfRule>
    <cfRule type="cellIs" dxfId="8531" priority="11231" operator="between">
      <formula>0.95</formula>
      <formula>1</formula>
    </cfRule>
    <cfRule type="cellIs" dxfId="8530" priority="11232" stopIfTrue="1" operator="between">
      <formula>0</formula>
      <formula>0.5</formula>
    </cfRule>
  </conditionalFormatting>
  <conditionalFormatting sqref="AD151">
    <cfRule type="cellIs" dxfId="8529" priority="11223" operator="between">
      <formula>0.76</formula>
      <formula>0.95</formula>
    </cfRule>
    <cfRule type="cellIs" dxfId="8528" priority="11224" operator="between">
      <formula>0.51</formula>
      <formula>0.75</formula>
    </cfRule>
    <cfRule type="cellIs" dxfId="8527" priority="11225" operator="greaterThan">
      <formula>1</formula>
    </cfRule>
    <cfRule type="cellIs" dxfId="8526" priority="11226" operator="between">
      <formula>0.95</formula>
      <formula>1</formula>
    </cfRule>
    <cfRule type="cellIs" dxfId="8525" priority="11227" stopIfTrue="1" operator="between">
      <formula>0</formula>
      <formula>0.5</formula>
    </cfRule>
  </conditionalFormatting>
  <conditionalFormatting sqref="AD152">
    <cfRule type="cellIs" dxfId="8524" priority="11218" operator="between">
      <formula>0.76</formula>
      <formula>0.95</formula>
    </cfRule>
    <cfRule type="cellIs" dxfId="8523" priority="11219" operator="between">
      <formula>0.51</formula>
      <formula>0.75</formula>
    </cfRule>
    <cfRule type="cellIs" dxfId="8522" priority="11220" operator="greaterThan">
      <formula>1</formula>
    </cfRule>
    <cfRule type="cellIs" dxfId="8521" priority="11221" operator="between">
      <formula>0.95</formula>
      <formula>1</formula>
    </cfRule>
    <cfRule type="cellIs" dxfId="8520" priority="11222" stopIfTrue="1" operator="between">
      <formula>0</formula>
      <formula>0.5</formula>
    </cfRule>
  </conditionalFormatting>
  <conditionalFormatting sqref="AD153">
    <cfRule type="cellIs" dxfId="8519" priority="11213" operator="between">
      <formula>0.76</formula>
      <formula>0.95</formula>
    </cfRule>
    <cfRule type="cellIs" dxfId="8518" priority="11214" operator="between">
      <formula>0.51</formula>
      <formula>0.75</formula>
    </cfRule>
    <cfRule type="cellIs" dxfId="8517" priority="11215" operator="greaterThan">
      <formula>1</formula>
    </cfRule>
    <cfRule type="cellIs" dxfId="8516" priority="11216" operator="between">
      <formula>0.95</formula>
      <formula>1</formula>
    </cfRule>
    <cfRule type="cellIs" dxfId="8515" priority="11217" stopIfTrue="1" operator="between">
      <formula>0</formula>
      <formula>0.5</formula>
    </cfRule>
  </conditionalFormatting>
  <conditionalFormatting sqref="AD154">
    <cfRule type="cellIs" dxfId="8514" priority="11208" operator="between">
      <formula>0.76</formula>
      <formula>0.95</formula>
    </cfRule>
    <cfRule type="cellIs" dxfId="8513" priority="11209" operator="between">
      <formula>0.51</formula>
      <formula>0.75</formula>
    </cfRule>
    <cfRule type="cellIs" dxfId="8512" priority="11210" operator="greaterThan">
      <formula>1</formula>
    </cfRule>
    <cfRule type="cellIs" dxfId="8511" priority="11211" operator="between">
      <formula>0.95</formula>
      <formula>1</formula>
    </cfRule>
    <cfRule type="cellIs" dxfId="8510" priority="11212" stopIfTrue="1" operator="between">
      <formula>0</formula>
      <formula>0.5</formula>
    </cfRule>
  </conditionalFormatting>
  <conditionalFormatting sqref="AD155">
    <cfRule type="cellIs" dxfId="8509" priority="11203" operator="between">
      <formula>0.76</formula>
      <formula>0.95</formula>
    </cfRule>
    <cfRule type="cellIs" dxfId="8508" priority="11204" operator="between">
      <formula>0.51</formula>
      <formula>0.75</formula>
    </cfRule>
    <cfRule type="cellIs" dxfId="8507" priority="11205" operator="greaterThan">
      <formula>1</formula>
    </cfRule>
    <cfRule type="cellIs" dxfId="8506" priority="11206" operator="between">
      <formula>0.95</formula>
      <formula>1</formula>
    </cfRule>
    <cfRule type="cellIs" dxfId="8505" priority="11207" stopIfTrue="1" operator="between">
      <formula>0</formula>
      <formula>0.5</formula>
    </cfRule>
  </conditionalFormatting>
  <conditionalFormatting sqref="AD156">
    <cfRule type="cellIs" dxfId="8504" priority="11198" operator="between">
      <formula>0.76</formula>
      <formula>0.95</formula>
    </cfRule>
    <cfRule type="cellIs" dxfId="8503" priority="11199" operator="between">
      <formula>0.51</formula>
      <formula>0.75</formula>
    </cfRule>
    <cfRule type="cellIs" dxfId="8502" priority="11200" operator="greaterThan">
      <formula>1</formula>
    </cfRule>
    <cfRule type="cellIs" dxfId="8501" priority="11201" operator="between">
      <formula>0.95</formula>
      <formula>1</formula>
    </cfRule>
    <cfRule type="cellIs" dxfId="8500" priority="11202" stopIfTrue="1" operator="between">
      <formula>0</formula>
      <formula>0.5</formula>
    </cfRule>
  </conditionalFormatting>
  <conditionalFormatting sqref="AD157">
    <cfRule type="cellIs" dxfId="8499" priority="11193" operator="between">
      <formula>0.76</formula>
      <formula>0.95</formula>
    </cfRule>
    <cfRule type="cellIs" dxfId="8498" priority="11194" operator="between">
      <formula>0.51</formula>
      <formula>0.75</formula>
    </cfRule>
    <cfRule type="cellIs" dxfId="8497" priority="11195" operator="greaterThan">
      <formula>1</formula>
    </cfRule>
    <cfRule type="cellIs" dxfId="8496" priority="11196" operator="between">
      <formula>0.95</formula>
      <formula>1</formula>
    </cfRule>
    <cfRule type="cellIs" dxfId="8495" priority="11197" stopIfTrue="1" operator="between">
      <formula>0</formula>
      <formula>0.5</formula>
    </cfRule>
  </conditionalFormatting>
  <conditionalFormatting sqref="AD158">
    <cfRule type="cellIs" dxfId="8494" priority="11188" operator="between">
      <formula>0.76</formula>
      <formula>0.95</formula>
    </cfRule>
    <cfRule type="cellIs" dxfId="8493" priority="11189" operator="between">
      <formula>0.51</formula>
      <formula>0.75</formula>
    </cfRule>
    <cfRule type="cellIs" dxfId="8492" priority="11190" operator="greaterThan">
      <formula>1</formula>
    </cfRule>
    <cfRule type="cellIs" dxfId="8491" priority="11191" operator="between">
      <formula>0.95</formula>
      <formula>1</formula>
    </cfRule>
    <cfRule type="cellIs" dxfId="8490" priority="11192" stopIfTrue="1" operator="between">
      <formula>0</formula>
      <formula>0.5</formula>
    </cfRule>
  </conditionalFormatting>
  <conditionalFormatting sqref="AD159">
    <cfRule type="cellIs" dxfId="8489" priority="11183" operator="between">
      <formula>0.76</formula>
      <formula>0.95</formula>
    </cfRule>
    <cfRule type="cellIs" dxfId="8488" priority="11184" operator="between">
      <formula>0.51</formula>
      <formula>0.75</formula>
    </cfRule>
    <cfRule type="cellIs" dxfId="8487" priority="11185" operator="greaterThan">
      <formula>1</formula>
    </cfRule>
    <cfRule type="cellIs" dxfId="8486" priority="11186" operator="between">
      <formula>0.95</formula>
      <formula>1</formula>
    </cfRule>
    <cfRule type="cellIs" dxfId="8485" priority="11187" stopIfTrue="1" operator="between">
      <formula>0</formula>
      <formula>0.5</formula>
    </cfRule>
  </conditionalFormatting>
  <conditionalFormatting sqref="AD160">
    <cfRule type="cellIs" dxfId="8484" priority="11178" operator="between">
      <formula>0.76</formula>
      <formula>0.95</formula>
    </cfRule>
    <cfRule type="cellIs" dxfId="8483" priority="11179" operator="between">
      <formula>0.51</formula>
      <formula>0.75</formula>
    </cfRule>
    <cfRule type="cellIs" dxfId="8482" priority="11180" operator="greaterThan">
      <formula>1</formula>
    </cfRule>
    <cfRule type="cellIs" dxfId="8481" priority="11181" operator="between">
      <formula>0.95</formula>
      <formula>1</formula>
    </cfRule>
    <cfRule type="cellIs" dxfId="8480" priority="11182" stopIfTrue="1" operator="between">
      <formula>0</formula>
      <formula>0.5</formula>
    </cfRule>
  </conditionalFormatting>
  <conditionalFormatting sqref="AD161">
    <cfRule type="cellIs" dxfId="8479" priority="11173" operator="between">
      <formula>0.76</formula>
      <formula>0.95</formula>
    </cfRule>
    <cfRule type="cellIs" dxfId="8478" priority="11174" operator="between">
      <formula>0.51</formula>
      <formula>0.75</formula>
    </cfRule>
    <cfRule type="cellIs" dxfId="8477" priority="11175" operator="greaterThan">
      <formula>1</formula>
    </cfRule>
    <cfRule type="cellIs" dxfId="8476" priority="11176" operator="between">
      <formula>0.95</formula>
      <formula>1</formula>
    </cfRule>
    <cfRule type="cellIs" dxfId="8475" priority="11177" stopIfTrue="1" operator="between">
      <formula>0</formula>
      <formula>0.5</formula>
    </cfRule>
  </conditionalFormatting>
  <conditionalFormatting sqref="AD162">
    <cfRule type="cellIs" dxfId="8474" priority="11168" operator="between">
      <formula>0.76</formula>
      <formula>0.95</formula>
    </cfRule>
    <cfRule type="cellIs" dxfId="8473" priority="11169" operator="between">
      <formula>0.51</formula>
      <formula>0.75</formula>
    </cfRule>
    <cfRule type="cellIs" dxfId="8472" priority="11170" operator="greaterThan">
      <formula>1</formula>
    </cfRule>
    <cfRule type="cellIs" dxfId="8471" priority="11171" operator="between">
      <formula>0.95</formula>
      <formula>1</formula>
    </cfRule>
    <cfRule type="cellIs" dxfId="8470" priority="11172" stopIfTrue="1" operator="between">
      <formula>0</formula>
      <formula>0.5</formula>
    </cfRule>
  </conditionalFormatting>
  <conditionalFormatting sqref="AD163">
    <cfRule type="cellIs" dxfId="8469" priority="11163" operator="between">
      <formula>0.76</formula>
      <formula>0.95</formula>
    </cfRule>
    <cfRule type="cellIs" dxfId="8468" priority="11164" operator="between">
      <formula>0.51</formula>
      <formula>0.75</formula>
    </cfRule>
    <cfRule type="cellIs" dxfId="8467" priority="11165" operator="greaterThan">
      <formula>1</formula>
    </cfRule>
    <cfRule type="cellIs" dxfId="8466" priority="11166" operator="between">
      <formula>0.95</formula>
      <formula>1</formula>
    </cfRule>
    <cfRule type="cellIs" dxfId="8465" priority="11167" stopIfTrue="1" operator="between">
      <formula>0</formula>
      <formula>0.5</formula>
    </cfRule>
  </conditionalFormatting>
  <conditionalFormatting sqref="AD164">
    <cfRule type="cellIs" dxfId="8464" priority="11158" operator="between">
      <formula>0.76</formula>
      <formula>0.95</formula>
    </cfRule>
    <cfRule type="cellIs" dxfId="8463" priority="11159" operator="between">
      <formula>0.51</formula>
      <formula>0.75</formula>
    </cfRule>
    <cfRule type="cellIs" dxfId="8462" priority="11160" operator="greaterThan">
      <formula>1</formula>
    </cfRule>
    <cfRule type="cellIs" dxfId="8461" priority="11161" operator="between">
      <formula>0.95</formula>
      <formula>1</formula>
    </cfRule>
    <cfRule type="cellIs" dxfId="8460" priority="11162" stopIfTrue="1" operator="between">
      <formula>0</formula>
      <formula>0.5</formula>
    </cfRule>
  </conditionalFormatting>
  <conditionalFormatting sqref="AD165">
    <cfRule type="cellIs" dxfId="8459" priority="11153" operator="between">
      <formula>0.76</formula>
      <formula>0.95</formula>
    </cfRule>
    <cfRule type="cellIs" dxfId="8458" priority="11154" operator="between">
      <formula>0.51</formula>
      <formula>0.75</formula>
    </cfRule>
    <cfRule type="cellIs" dxfId="8457" priority="11155" operator="greaterThan">
      <formula>1</formula>
    </cfRule>
    <cfRule type="cellIs" dxfId="8456" priority="11156" operator="between">
      <formula>0.95</formula>
      <formula>1</formula>
    </cfRule>
    <cfRule type="cellIs" dxfId="8455" priority="11157" stopIfTrue="1" operator="between">
      <formula>0</formula>
      <formula>0.5</formula>
    </cfRule>
  </conditionalFormatting>
  <conditionalFormatting sqref="AD166">
    <cfRule type="cellIs" dxfId="8454" priority="11148" operator="between">
      <formula>0.76</formula>
      <formula>0.95</formula>
    </cfRule>
    <cfRule type="cellIs" dxfId="8453" priority="11149" operator="between">
      <formula>0.51</formula>
      <formula>0.75</formula>
    </cfRule>
    <cfRule type="cellIs" dxfId="8452" priority="11150" operator="greaterThan">
      <formula>1</formula>
    </cfRule>
    <cfRule type="cellIs" dxfId="8451" priority="11151" operator="between">
      <formula>0.95</formula>
      <formula>1</formula>
    </cfRule>
    <cfRule type="cellIs" dxfId="8450" priority="11152" stopIfTrue="1" operator="between">
      <formula>0</formula>
      <formula>0.5</formula>
    </cfRule>
  </conditionalFormatting>
  <conditionalFormatting sqref="AD167">
    <cfRule type="cellIs" dxfId="8449" priority="11143" operator="between">
      <formula>0.76</formula>
      <formula>0.95</formula>
    </cfRule>
    <cfRule type="cellIs" dxfId="8448" priority="11144" operator="between">
      <formula>0.51</formula>
      <formula>0.75</formula>
    </cfRule>
    <cfRule type="cellIs" dxfId="8447" priority="11145" operator="greaterThan">
      <formula>1</formula>
    </cfRule>
    <cfRule type="cellIs" dxfId="8446" priority="11146" operator="between">
      <formula>0.95</formula>
      <formula>1</formula>
    </cfRule>
    <cfRule type="cellIs" dxfId="8445" priority="11147" stopIfTrue="1" operator="between">
      <formula>0</formula>
      <formula>0.5</formula>
    </cfRule>
  </conditionalFormatting>
  <conditionalFormatting sqref="AD168">
    <cfRule type="cellIs" dxfId="8444" priority="11138" operator="between">
      <formula>0.76</formula>
      <formula>0.95</formula>
    </cfRule>
    <cfRule type="cellIs" dxfId="8443" priority="11139" operator="between">
      <formula>0.51</formula>
      <formula>0.75</formula>
    </cfRule>
    <cfRule type="cellIs" dxfId="8442" priority="11140" operator="greaterThan">
      <formula>1</formula>
    </cfRule>
    <cfRule type="cellIs" dxfId="8441" priority="11141" operator="between">
      <formula>0.95</formula>
      <formula>1</formula>
    </cfRule>
    <cfRule type="cellIs" dxfId="8440" priority="11142" stopIfTrue="1" operator="between">
      <formula>0</formula>
      <formula>0.5</formula>
    </cfRule>
  </conditionalFormatting>
  <conditionalFormatting sqref="AD169">
    <cfRule type="cellIs" dxfId="8439" priority="11133" operator="between">
      <formula>0.76</formula>
      <formula>0.95</formula>
    </cfRule>
    <cfRule type="cellIs" dxfId="8438" priority="11134" operator="between">
      <formula>0.51</formula>
      <formula>0.75</formula>
    </cfRule>
    <cfRule type="cellIs" dxfId="8437" priority="11135" operator="greaterThan">
      <formula>1</formula>
    </cfRule>
    <cfRule type="cellIs" dxfId="8436" priority="11136" operator="between">
      <formula>0.95</formula>
      <formula>1</formula>
    </cfRule>
    <cfRule type="cellIs" dxfId="8435" priority="11137" stopIfTrue="1" operator="between">
      <formula>0</formula>
      <formula>0.5</formula>
    </cfRule>
  </conditionalFormatting>
  <conditionalFormatting sqref="AD170">
    <cfRule type="cellIs" dxfId="8434" priority="11128" operator="between">
      <formula>0.76</formula>
      <formula>0.95</formula>
    </cfRule>
    <cfRule type="cellIs" dxfId="8433" priority="11129" operator="between">
      <formula>0.51</formula>
      <formula>0.75</formula>
    </cfRule>
    <cfRule type="cellIs" dxfId="8432" priority="11130" operator="greaterThan">
      <formula>1</formula>
    </cfRule>
    <cfRule type="cellIs" dxfId="8431" priority="11131" operator="between">
      <formula>0.95</formula>
      <formula>1</formula>
    </cfRule>
    <cfRule type="cellIs" dxfId="8430" priority="11132" stopIfTrue="1" operator="between">
      <formula>0</formula>
      <formula>0.5</formula>
    </cfRule>
  </conditionalFormatting>
  <conditionalFormatting sqref="AD171">
    <cfRule type="cellIs" dxfId="8429" priority="11123" operator="between">
      <formula>0.76</formula>
      <formula>0.95</formula>
    </cfRule>
    <cfRule type="cellIs" dxfId="8428" priority="11124" operator="between">
      <formula>0.51</formula>
      <formula>0.75</formula>
    </cfRule>
    <cfRule type="cellIs" dxfId="8427" priority="11125" operator="greaterThan">
      <formula>1</formula>
    </cfRule>
    <cfRule type="cellIs" dxfId="8426" priority="11126" operator="between">
      <formula>0.95</formula>
      <formula>1</formula>
    </cfRule>
    <cfRule type="cellIs" dxfId="8425" priority="11127" stopIfTrue="1" operator="between">
      <formula>0</formula>
      <formula>0.5</formula>
    </cfRule>
  </conditionalFormatting>
  <conditionalFormatting sqref="AD172">
    <cfRule type="cellIs" dxfId="8424" priority="11118" operator="between">
      <formula>0.76</formula>
      <formula>0.95</formula>
    </cfRule>
    <cfRule type="cellIs" dxfId="8423" priority="11119" operator="between">
      <formula>0.51</formula>
      <formula>0.75</formula>
    </cfRule>
    <cfRule type="cellIs" dxfId="8422" priority="11120" operator="greaterThan">
      <formula>1</formula>
    </cfRule>
    <cfRule type="cellIs" dxfId="8421" priority="11121" operator="between">
      <formula>0.95</formula>
      <formula>1</formula>
    </cfRule>
    <cfRule type="cellIs" dxfId="8420" priority="11122" stopIfTrue="1" operator="between">
      <formula>0</formula>
      <formula>0.5</formula>
    </cfRule>
  </conditionalFormatting>
  <conditionalFormatting sqref="AD173">
    <cfRule type="cellIs" dxfId="8419" priority="11113" operator="between">
      <formula>0.76</formula>
      <formula>0.95</formula>
    </cfRule>
    <cfRule type="cellIs" dxfId="8418" priority="11114" operator="between">
      <formula>0.51</formula>
      <formula>0.75</formula>
    </cfRule>
    <cfRule type="cellIs" dxfId="8417" priority="11115" operator="greaterThan">
      <formula>1</formula>
    </cfRule>
    <cfRule type="cellIs" dxfId="8416" priority="11116" operator="between">
      <formula>0.95</formula>
      <formula>1</formula>
    </cfRule>
    <cfRule type="cellIs" dxfId="8415" priority="11117" stopIfTrue="1" operator="between">
      <formula>0</formula>
      <formula>0.5</formula>
    </cfRule>
  </conditionalFormatting>
  <conditionalFormatting sqref="AD174">
    <cfRule type="cellIs" dxfId="8414" priority="11108" operator="between">
      <formula>0.76</formula>
      <formula>0.95</formula>
    </cfRule>
    <cfRule type="cellIs" dxfId="8413" priority="11109" operator="between">
      <formula>0.51</formula>
      <formula>0.75</formula>
    </cfRule>
    <cfRule type="cellIs" dxfId="8412" priority="11110" operator="greaterThan">
      <formula>1</formula>
    </cfRule>
    <cfRule type="cellIs" dxfId="8411" priority="11111" operator="between">
      <formula>0.95</formula>
      <formula>1</formula>
    </cfRule>
    <cfRule type="cellIs" dxfId="8410" priority="11112" stopIfTrue="1" operator="between">
      <formula>0</formula>
      <formula>0.5</formula>
    </cfRule>
  </conditionalFormatting>
  <conditionalFormatting sqref="AD175">
    <cfRule type="cellIs" dxfId="8409" priority="11103" operator="between">
      <formula>0.76</formula>
      <formula>0.95</formula>
    </cfRule>
    <cfRule type="cellIs" dxfId="8408" priority="11104" operator="between">
      <formula>0.51</formula>
      <formula>0.75</formula>
    </cfRule>
    <cfRule type="cellIs" dxfId="8407" priority="11105" operator="greaterThan">
      <formula>1</formula>
    </cfRule>
    <cfRule type="cellIs" dxfId="8406" priority="11106" operator="between">
      <formula>0.95</formula>
      <formula>1</formula>
    </cfRule>
    <cfRule type="cellIs" dxfId="8405" priority="11107" stopIfTrue="1" operator="between">
      <formula>0</formula>
      <formula>0.5</formula>
    </cfRule>
  </conditionalFormatting>
  <conditionalFormatting sqref="AD176">
    <cfRule type="cellIs" dxfId="8404" priority="11098" operator="between">
      <formula>0.76</formula>
      <formula>0.95</formula>
    </cfRule>
    <cfRule type="cellIs" dxfId="8403" priority="11099" operator="between">
      <formula>0.51</formula>
      <formula>0.75</formula>
    </cfRule>
    <cfRule type="cellIs" dxfId="8402" priority="11100" operator="greaterThan">
      <formula>1</formula>
    </cfRule>
    <cfRule type="cellIs" dxfId="8401" priority="11101" operator="between">
      <formula>0.95</formula>
      <formula>1</formula>
    </cfRule>
    <cfRule type="cellIs" dxfId="8400" priority="11102" stopIfTrue="1" operator="between">
      <formula>0</formula>
      <formula>0.5</formula>
    </cfRule>
  </conditionalFormatting>
  <conditionalFormatting sqref="AD177">
    <cfRule type="cellIs" dxfId="8399" priority="11093" operator="between">
      <formula>0.76</formula>
      <formula>0.95</formula>
    </cfRule>
    <cfRule type="cellIs" dxfId="8398" priority="11094" operator="between">
      <formula>0.51</formula>
      <formula>0.75</formula>
    </cfRule>
    <cfRule type="cellIs" dxfId="8397" priority="11095" operator="greaterThan">
      <formula>1</formula>
    </cfRule>
    <cfRule type="cellIs" dxfId="8396" priority="11096" operator="between">
      <formula>0.95</formula>
      <formula>1</formula>
    </cfRule>
    <cfRule type="cellIs" dxfId="8395" priority="11097" stopIfTrue="1" operator="between">
      <formula>0</formula>
      <formula>0.5</formula>
    </cfRule>
  </conditionalFormatting>
  <conditionalFormatting sqref="AD209">
    <cfRule type="cellIs" dxfId="8394" priority="10948" operator="between">
      <formula>0.76</formula>
      <formula>0.95</formula>
    </cfRule>
    <cfRule type="cellIs" dxfId="8393" priority="10949" operator="between">
      <formula>0.51</formula>
      <formula>0.75</formula>
    </cfRule>
    <cfRule type="cellIs" dxfId="8392" priority="10950" operator="greaterThan">
      <formula>1</formula>
    </cfRule>
    <cfRule type="cellIs" dxfId="8391" priority="10951" operator="between">
      <formula>0.95</formula>
      <formula>1</formula>
    </cfRule>
    <cfRule type="cellIs" dxfId="8390" priority="10952" stopIfTrue="1" operator="between">
      <formula>0</formula>
      <formula>0.5</formula>
    </cfRule>
  </conditionalFormatting>
  <conditionalFormatting sqref="AD179">
    <cfRule type="cellIs" dxfId="8389" priority="11083" operator="between">
      <formula>0.76</formula>
      <formula>0.95</formula>
    </cfRule>
    <cfRule type="cellIs" dxfId="8388" priority="11084" operator="between">
      <formula>0.51</formula>
      <formula>0.75</formula>
    </cfRule>
    <cfRule type="cellIs" dxfId="8387" priority="11085" operator="greaterThan">
      <formula>1</formula>
    </cfRule>
    <cfRule type="cellIs" dxfId="8386" priority="11086" operator="between">
      <formula>0.95</formula>
      <formula>1</formula>
    </cfRule>
    <cfRule type="cellIs" dxfId="8385" priority="11087" stopIfTrue="1" operator="between">
      <formula>0</formula>
      <formula>0.5</formula>
    </cfRule>
  </conditionalFormatting>
  <conditionalFormatting sqref="AD180">
    <cfRule type="cellIs" dxfId="8384" priority="11078" operator="between">
      <formula>0.76</formula>
      <formula>0.95</formula>
    </cfRule>
    <cfRule type="cellIs" dxfId="8383" priority="11079" operator="between">
      <formula>0.51</formula>
      <formula>0.75</formula>
    </cfRule>
    <cfRule type="cellIs" dxfId="8382" priority="11080" operator="greaterThan">
      <formula>1</formula>
    </cfRule>
    <cfRule type="cellIs" dxfId="8381" priority="11081" operator="between">
      <formula>0.95</formula>
      <formula>1</formula>
    </cfRule>
    <cfRule type="cellIs" dxfId="8380" priority="11082" stopIfTrue="1" operator="between">
      <formula>0</formula>
      <formula>0.5</formula>
    </cfRule>
  </conditionalFormatting>
  <conditionalFormatting sqref="AD181">
    <cfRule type="cellIs" dxfId="8379" priority="11073" operator="between">
      <formula>0.76</formula>
      <formula>0.95</formula>
    </cfRule>
    <cfRule type="cellIs" dxfId="8378" priority="11074" operator="between">
      <formula>0.51</formula>
      <formula>0.75</formula>
    </cfRule>
    <cfRule type="cellIs" dxfId="8377" priority="11075" operator="greaterThan">
      <formula>1</formula>
    </cfRule>
    <cfRule type="cellIs" dxfId="8376" priority="11076" operator="between">
      <formula>0.95</formula>
      <formula>1</formula>
    </cfRule>
    <cfRule type="cellIs" dxfId="8375" priority="11077" stopIfTrue="1" operator="between">
      <formula>0</formula>
      <formula>0.5</formula>
    </cfRule>
  </conditionalFormatting>
  <conditionalFormatting sqref="AD182">
    <cfRule type="cellIs" dxfId="8374" priority="11068" operator="between">
      <formula>0.76</formula>
      <formula>0.95</formula>
    </cfRule>
    <cfRule type="cellIs" dxfId="8373" priority="11069" operator="between">
      <formula>0.51</formula>
      <formula>0.75</formula>
    </cfRule>
    <cfRule type="cellIs" dxfId="8372" priority="11070" operator="greaterThan">
      <formula>1</formula>
    </cfRule>
    <cfRule type="cellIs" dxfId="8371" priority="11071" operator="between">
      <formula>0.95</formula>
      <formula>1</formula>
    </cfRule>
    <cfRule type="cellIs" dxfId="8370" priority="11072" stopIfTrue="1" operator="between">
      <formula>0</formula>
      <formula>0.5</formula>
    </cfRule>
  </conditionalFormatting>
  <conditionalFormatting sqref="AD183">
    <cfRule type="cellIs" dxfId="8369" priority="11063" operator="between">
      <formula>0.76</formula>
      <formula>0.95</formula>
    </cfRule>
    <cfRule type="cellIs" dxfId="8368" priority="11064" operator="between">
      <formula>0.51</formula>
      <formula>0.75</formula>
    </cfRule>
    <cfRule type="cellIs" dxfId="8367" priority="11065" operator="greaterThan">
      <formula>1</formula>
    </cfRule>
    <cfRule type="cellIs" dxfId="8366" priority="11066" operator="between">
      <formula>0.95</formula>
      <formula>1</formula>
    </cfRule>
    <cfRule type="cellIs" dxfId="8365" priority="11067" stopIfTrue="1" operator="between">
      <formula>0</formula>
      <formula>0.5</formula>
    </cfRule>
  </conditionalFormatting>
  <conditionalFormatting sqref="AD184">
    <cfRule type="cellIs" dxfId="8364" priority="11058" operator="between">
      <formula>0.76</formula>
      <formula>0.95</formula>
    </cfRule>
    <cfRule type="cellIs" dxfId="8363" priority="11059" operator="between">
      <formula>0.51</formula>
      <formula>0.75</formula>
    </cfRule>
    <cfRule type="cellIs" dxfId="8362" priority="11060" operator="greaterThan">
      <formula>1</formula>
    </cfRule>
    <cfRule type="cellIs" dxfId="8361" priority="11061" operator="between">
      <formula>0.95</formula>
      <formula>1</formula>
    </cfRule>
    <cfRule type="cellIs" dxfId="8360" priority="11062" stopIfTrue="1" operator="between">
      <formula>0</formula>
      <formula>0.5</formula>
    </cfRule>
  </conditionalFormatting>
  <conditionalFormatting sqref="AD185">
    <cfRule type="cellIs" dxfId="8359" priority="11053" operator="between">
      <formula>0.76</formula>
      <formula>0.95</formula>
    </cfRule>
    <cfRule type="cellIs" dxfId="8358" priority="11054" operator="between">
      <formula>0.51</formula>
      <formula>0.75</formula>
    </cfRule>
    <cfRule type="cellIs" dxfId="8357" priority="11055" operator="greaterThan">
      <formula>1</formula>
    </cfRule>
    <cfRule type="cellIs" dxfId="8356" priority="11056" operator="between">
      <formula>0.95</formula>
      <formula>1</formula>
    </cfRule>
    <cfRule type="cellIs" dxfId="8355" priority="11057" stopIfTrue="1" operator="between">
      <formula>0</formula>
      <formula>0.5</formula>
    </cfRule>
  </conditionalFormatting>
  <conditionalFormatting sqref="AD186">
    <cfRule type="cellIs" dxfId="8354" priority="11048" operator="between">
      <formula>0.76</formula>
      <formula>0.95</formula>
    </cfRule>
    <cfRule type="cellIs" dxfId="8353" priority="11049" operator="between">
      <formula>0.51</formula>
      <formula>0.75</formula>
    </cfRule>
    <cfRule type="cellIs" dxfId="8352" priority="11050" operator="greaterThan">
      <formula>1</formula>
    </cfRule>
    <cfRule type="cellIs" dxfId="8351" priority="11051" operator="between">
      <formula>0.95</formula>
      <formula>1</formula>
    </cfRule>
    <cfRule type="cellIs" dxfId="8350" priority="11052" stopIfTrue="1" operator="between">
      <formula>0</formula>
      <formula>0.5</formula>
    </cfRule>
  </conditionalFormatting>
  <conditionalFormatting sqref="AD187">
    <cfRule type="cellIs" dxfId="8349" priority="11043" operator="between">
      <formula>0.76</formula>
      <formula>0.95</formula>
    </cfRule>
    <cfRule type="cellIs" dxfId="8348" priority="11044" operator="between">
      <formula>0.51</formula>
      <formula>0.75</formula>
    </cfRule>
    <cfRule type="cellIs" dxfId="8347" priority="11045" operator="greaterThan">
      <formula>1</formula>
    </cfRule>
    <cfRule type="cellIs" dxfId="8346" priority="11046" operator="between">
      <formula>0.95</formula>
      <formula>1</formula>
    </cfRule>
    <cfRule type="cellIs" dxfId="8345" priority="11047" stopIfTrue="1" operator="between">
      <formula>0</formula>
      <formula>0.5</formula>
    </cfRule>
  </conditionalFormatting>
  <conditionalFormatting sqref="AD188">
    <cfRule type="cellIs" dxfId="8344" priority="11038" operator="between">
      <formula>0.76</formula>
      <formula>0.95</formula>
    </cfRule>
    <cfRule type="cellIs" dxfId="8343" priority="11039" operator="between">
      <formula>0.51</formula>
      <formula>0.75</formula>
    </cfRule>
    <cfRule type="cellIs" dxfId="8342" priority="11040" operator="greaterThan">
      <formula>1</formula>
    </cfRule>
    <cfRule type="cellIs" dxfId="8341" priority="11041" operator="between">
      <formula>0.95</formula>
      <formula>1</formula>
    </cfRule>
    <cfRule type="cellIs" dxfId="8340" priority="11042" stopIfTrue="1" operator="between">
      <formula>0</formula>
      <formula>0.5</formula>
    </cfRule>
  </conditionalFormatting>
  <conditionalFormatting sqref="AD189">
    <cfRule type="cellIs" dxfId="8339" priority="11033" operator="between">
      <formula>0.76</formula>
      <formula>0.95</formula>
    </cfRule>
    <cfRule type="cellIs" dxfId="8338" priority="11034" operator="between">
      <formula>0.51</formula>
      <formula>0.75</formula>
    </cfRule>
    <cfRule type="cellIs" dxfId="8337" priority="11035" operator="greaterThan">
      <formula>1</formula>
    </cfRule>
    <cfRule type="cellIs" dxfId="8336" priority="11036" operator="between">
      <formula>0.95</formula>
      <formula>1</formula>
    </cfRule>
    <cfRule type="cellIs" dxfId="8335" priority="11037" stopIfTrue="1" operator="between">
      <formula>0</formula>
      <formula>0.5</formula>
    </cfRule>
  </conditionalFormatting>
  <conditionalFormatting sqref="AD190">
    <cfRule type="cellIs" dxfId="8334" priority="11028" operator="between">
      <formula>0.76</formula>
      <formula>0.95</formula>
    </cfRule>
    <cfRule type="cellIs" dxfId="8333" priority="11029" operator="between">
      <formula>0.51</formula>
      <formula>0.75</formula>
    </cfRule>
    <cfRule type="cellIs" dxfId="8332" priority="11030" operator="greaterThan">
      <formula>1</formula>
    </cfRule>
    <cfRule type="cellIs" dxfId="8331" priority="11031" operator="between">
      <formula>0.95</formula>
      <formula>1</formula>
    </cfRule>
    <cfRule type="cellIs" dxfId="8330" priority="11032" stopIfTrue="1" operator="between">
      <formula>0</formula>
      <formula>0.5</formula>
    </cfRule>
  </conditionalFormatting>
  <conditionalFormatting sqref="AD191">
    <cfRule type="cellIs" dxfId="8329" priority="11023" operator="between">
      <formula>0.76</formula>
      <formula>0.95</formula>
    </cfRule>
    <cfRule type="cellIs" dxfId="8328" priority="11024" operator="between">
      <formula>0.51</formula>
      <formula>0.75</formula>
    </cfRule>
    <cfRule type="cellIs" dxfId="8327" priority="11025" operator="greaterThan">
      <formula>1</formula>
    </cfRule>
    <cfRule type="cellIs" dxfId="8326" priority="11026" operator="between">
      <formula>0.95</formula>
      <formula>1</formula>
    </cfRule>
    <cfRule type="cellIs" dxfId="8325" priority="11027" stopIfTrue="1" operator="between">
      <formula>0</formula>
      <formula>0.5</formula>
    </cfRule>
  </conditionalFormatting>
  <conditionalFormatting sqref="AD192">
    <cfRule type="cellIs" dxfId="8324" priority="11018" operator="between">
      <formula>0.76</formula>
      <formula>0.95</formula>
    </cfRule>
    <cfRule type="cellIs" dxfId="8323" priority="11019" operator="between">
      <formula>0.51</formula>
      <formula>0.75</formula>
    </cfRule>
    <cfRule type="cellIs" dxfId="8322" priority="11020" operator="greaterThan">
      <formula>1</formula>
    </cfRule>
    <cfRule type="cellIs" dxfId="8321" priority="11021" operator="between">
      <formula>0.95</formula>
      <formula>1</formula>
    </cfRule>
    <cfRule type="cellIs" dxfId="8320" priority="11022" stopIfTrue="1" operator="between">
      <formula>0</formula>
      <formula>0.5</formula>
    </cfRule>
  </conditionalFormatting>
  <conditionalFormatting sqref="AD195">
    <cfRule type="cellIs" dxfId="8319" priority="11013" operator="between">
      <formula>0.76</formula>
      <formula>0.95</formula>
    </cfRule>
    <cfRule type="cellIs" dxfId="8318" priority="11014" operator="between">
      <formula>0.51</formula>
      <formula>0.75</formula>
    </cfRule>
    <cfRule type="cellIs" dxfId="8317" priority="11015" operator="greaterThan">
      <formula>1</formula>
    </cfRule>
    <cfRule type="cellIs" dxfId="8316" priority="11016" operator="between">
      <formula>0.95</formula>
      <formula>1</formula>
    </cfRule>
    <cfRule type="cellIs" dxfId="8315" priority="11017" stopIfTrue="1" operator="between">
      <formula>0</formula>
      <formula>0.5</formula>
    </cfRule>
  </conditionalFormatting>
  <conditionalFormatting sqref="AD196">
    <cfRule type="cellIs" dxfId="8314" priority="11008" operator="between">
      <formula>0.76</formula>
      <formula>0.95</formula>
    </cfRule>
    <cfRule type="cellIs" dxfId="8313" priority="11009" operator="between">
      <formula>0.51</formula>
      <formula>0.75</formula>
    </cfRule>
    <cfRule type="cellIs" dxfId="8312" priority="11010" operator="greaterThan">
      <formula>1</formula>
    </cfRule>
    <cfRule type="cellIs" dxfId="8311" priority="11011" operator="between">
      <formula>0.95</formula>
      <formula>1</formula>
    </cfRule>
    <cfRule type="cellIs" dxfId="8310" priority="11012" stopIfTrue="1" operator="between">
      <formula>0</formula>
      <formula>0.5</formula>
    </cfRule>
  </conditionalFormatting>
  <conditionalFormatting sqref="AD197">
    <cfRule type="cellIs" dxfId="8309" priority="11003" operator="between">
      <formula>0.76</formula>
      <formula>0.95</formula>
    </cfRule>
    <cfRule type="cellIs" dxfId="8308" priority="11004" operator="between">
      <formula>0.51</formula>
      <formula>0.75</formula>
    </cfRule>
    <cfRule type="cellIs" dxfId="8307" priority="11005" operator="greaterThan">
      <formula>1</formula>
    </cfRule>
    <cfRule type="cellIs" dxfId="8306" priority="11006" operator="between">
      <formula>0.95</formula>
      <formula>1</formula>
    </cfRule>
    <cfRule type="cellIs" dxfId="8305" priority="11007" stopIfTrue="1" operator="between">
      <formula>0</formula>
      <formula>0.5</formula>
    </cfRule>
  </conditionalFormatting>
  <conditionalFormatting sqref="AD198">
    <cfRule type="cellIs" dxfId="8304" priority="10998" operator="between">
      <formula>0.76</formula>
      <formula>0.95</formula>
    </cfRule>
    <cfRule type="cellIs" dxfId="8303" priority="10999" operator="between">
      <formula>0.51</formula>
      <formula>0.75</formula>
    </cfRule>
    <cfRule type="cellIs" dxfId="8302" priority="11000" operator="greaterThan">
      <formula>1</formula>
    </cfRule>
    <cfRule type="cellIs" dxfId="8301" priority="11001" operator="between">
      <formula>0.95</formula>
      <formula>1</formula>
    </cfRule>
    <cfRule type="cellIs" dxfId="8300" priority="11002" stopIfTrue="1" operator="between">
      <formula>0</formula>
      <formula>0.5</formula>
    </cfRule>
  </conditionalFormatting>
  <conditionalFormatting sqref="AD199">
    <cfRule type="cellIs" dxfId="8299" priority="10993" operator="between">
      <formula>0.76</formula>
      <formula>0.95</formula>
    </cfRule>
    <cfRule type="cellIs" dxfId="8298" priority="10994" operator="between">
      <formula>0.51</formula>
      <formula>0.75</formula>
    </cfRule>
    <cfRule type="cellIs" dxfId="8297" priority="10995" operator="greaterThan">
      <formula>1</formula>
    </cfRule>
    <cfRule type="cellIs" dxfId="8296" priority="10996" operator="between">
      <formula>0.95</formula>
      <formula>1</formula>
    </cfRule>
    <cfRule type="cellIs" dxfId="8295" priority="10997" stopIfTrue="1" operator="between">
      <formula>0</formula>
      <formula>0.5</formula>
    </cfRule>
  </conditionalFormatting>
  <conditionalFormatting sqref="AD200">
    <cfRule type="cellIs" dxfId="8294" priority="10988" operator="between">
      <formula>0.76</formula>
      <formula>0.95</formula>
    </cfRule>
    <cfRule type="cellIs" dxfId="8293" priority="10989" operator="between">
      <formula>0.51</formula>
      <formula>0.75</formula>
    </cfRule>
    <cfRule type="cellIs" dxfId="8292" priority="10990" operator="greaterThan">
      <formula>1</formula>
    </cfRule>
    <cfRule type="cellIs" dxfId="8291" priority="10991" operator="between">
      <formula>0.95</formula>
      <formula>1</formula>
    </cfRule>
    <cfRule type="cellIs" dxfId="8290" priority="10992" stopIfTrue="1" operator="between">
      <formula>0</formula>
      <formula>0.5</formula>
    </cfRule>
  </conditionalFormatting>
  <conditionalFormatting sqref="AD201">
    <cfRule type="cellIs" dxfId="8289" priority="10983" operator="between">
      <formula>0.76</formula>
      <formula>0.95</formula>
    </cfRule>
    <cfRule type="cellIs" dxfId="8288" priority="10984" operator="between">
      <formula>0.51</formula>
      <formula>0.75</formula>
    </cfRule>
    <cfRule type="cellIs" dxfId="8287" priority="10985" operator="greaterThan">
      <formula>1</formula>
    </cfRule>
    <cfRule type="cellIs" dxfId="8286" priority="10986" operator="between">
      <formula>0.95</formula>
      <formula>1</formula>
    </cfRule>
    <cfRule type="cellIs" dxfId="8285" priority="10987" stopIfTrue="1" operator="between">
      <formula>0</formula>
      <formula>0.5</formula>
    </cfRule>
  </conditionalFormatting>
  <conditionalFormatting sqref="AD202">
    <cfRule type="cellIs" dxfId="8284" priority="10978" operator="between">
      <formula>0.76</formula>
      <formula>0.95</formula>
    </cfRule>
    <cfRule type="cellIs" dxfId="8283" priority="10979" operator="between">
      <formula>0.51</formula>
      <formula>0.75</formula>
    </cfRule>
    <cfRule type="cellIs" dxfId="8282" priority="10980" operator="greaterThan">
      <formula>1</formula>
    </cfRule>
    <cfRule type="cellIs" dxfId="8281" priority="10981" operator="between">
      <formula>0.95</formula>
      <formula>1</formula>
    </cfRule>
    <cfRule type="cellIs" dxfId="8280" priority="10982" stopIfTrue="1" operator="between">
      <formula>0</formula>
      <formula>0.5</formula>
    </cfRule>
  </conditionalFormatting>
  <conditionalFormatting sqref="AD203">
    <cfRule type="cellIs" dxfId="8279" priority="10973" operator="between">
      <formula>0.76</formula>
      <formula>0.95</formula>
    </cfRule>
    <cfRule type="cellIs" dxfId="8278" priority="10974" operator="between">
      <formula>0.51</formula>
      <formula>0.75</formula>
    </cfRule>
    <cfRule type="cellIs" dxfId="8277" priority="10975" operator="greaterThan">
      <formula>1</formula>
    </cfRule>
    <cfRule type="cellIs" dxfId="8276" priority="10976" operator="between">
      <formula>0.95</formula>
      <formula>1</formula>
    </cfRule>
    <cfRule type="cellIs" dxfId="8275" priority="10977" stopIfTrue="1" operator="between">
      <formula>0</formula>
      <formula>0.5</formula>
    </cfRule>
  </conditionalFormatting>
  <conditionalFormatting sqref="AD204">
    <cfRule type="cellIs" dxfId="8274" priority="10968" operator="between">
      <formula>0.76</formula>
      <formula>0.95</formula>
    </cfRule>
    <cfRule type="cellIs" dxfId="8273" priority="10969" operator="between">
      <formula>0.51</formula>
      <formula>0.75</formula>
    </cfRule>
    <cfRule type="cellIs" dxfId="8272" priority="10970" operator="greaterThan">
      <formula>1</formula>
    </cfRule>
    <cfRule type="cellIs" dxfId="8271" priority="10971" operator="between">
      <formula>0.95</formula>
      <formula>1</formula>
    </cfRule>
    <cfRule type="cellIs" dxfId="8270" priority="10972" stopIfTrue="1" operator="between">
      <formula>0</formula>
      <formula>0.5</formula>
    </cfRule>
  </conditionalFormatting>
  <conditionalFormatting sqref="AD205">
    <cfRule type="cellIs" dxfId="8269" priority="10963" operator="between">
      <formula>0.76</formula>
      <formula>0.95</formula>
    </cfRule>
    <cfRule type="cellIs" dxfId="8268" priority="10964" operator="between">
      <formula>0.51</formula>
      <formula>0.75</formula>
    </cfRule>
    <cfRule type="cellIs" dxfId="8267" priority="10965" operator="greaterThan">
      <formula>1</formula>
    </cfRule>
    <cfRule type="cellIs" dxfId="8266" priority="10966" operator="between">
      <formula>0.95</formula>
      <formula>1</formula>
    </cfRule>
    <cfRule type="cellIs" dxfId="8265" priority="10967" stopIfTrue="1" operator="between">
      <formula>0</formula>
      <formula>0.5</formula>
    </cfRule>
  </conditionalFormatting>
  <conditionalFormatting sqref="AD207">
    <cfRule type="cellIs" dxfId="8264" priority="10958" operator="between">
      <formula>0.76</formula>
      <formula>0.95</formula>
    </cfRule>
    <cfRule type="cellIs" dxfId="8263" priority="10959" operator="between">
      <formula>0.51</formula>
      <formula>0.75</formula>
    </cfRule>
    <cfRule type="cellIs" dxfId="8262" priority="10960" operator="greaterThan">
      <formula>1</formula>
    </cfRule>
    <cfRule type="cellIs" dxfId="8261" priority="10961" operator="between">
      <formula>0.95</formula>
      <formula>1</formula>
    </cfRule>
    <cfRule type="cellIs" dxfId="8260" priority="10962" stopIfTrue="1" operator="between">
      <formula>0</formula>
      <formula>0.5</formula>
    </cfRule>
  </conditionalFormatting>
  <conditionalFormatting sqref="AD208">
    <cfRule type="cellIs" dxfId="8259" priority="10953" operator="between">
      <formula>0.76</formula>
      <formula>0.95</formula>
    </cfRule>
    <cfRule type="cellIs" dxfId="8258" priority="10954" operator="between">
      <formula>0.51</formula>
      <formula>0.75</formula>
    </cfRule>
    <cfRule type="cellIs" dxfId="8257" priority="10955" operator="greaterThan">
      <formula>1</formula>
    </cfRule>
    <cfRule type="cellIs" dxfId="8256" priority="10956" operator="between">
      <formula>0.95</formula>
      <formula>1</formula>
    </cfRule>
    <cfRule type="cellIs" dxfId="8255" priority="10957" stopIfTrue="1" operator="between">
      <formula>0</formula>
      <formula>0.5</formula>
    </cfRule>
  </conditionalFormatting>
  <conditionalFormatting sqref="AD210">
    <cfRule type="cellIs" dxfId="8254" priority="10943" operator="between">
      <formula>0.76</formula>
      <formula>0.95</formula>
    </cfRule>
    <cfRule type="cellIs" dxfId="8253" priority="10944" operator="between">
      <formula>0.51</formula>
      <formula>0.75</formula>
    </cfRule>
    <cfRule type="cellIs" dxfId="8252" priority="10945" operator="greaterThan">
      <formula>1</formula>
    </cfRule>
    <cfRule type="cellIs" dxfId="8251" priority="10946" operator="between">
      <formula>0.95</formula>
      <formula>1</formula>
    </cfRule>
    <cfRule type="cellIs" dxfId="8250" priority="10947" stopIfTrue="1" operator="between">
      <formula>0</formula>
      <formula>0.5</formula>
    </cfRule>
  </conditionalFormatting>
  <conditionalFormatting sqref="AD211">
    <cfRule type="cellIs" dxfId="8249" priority="10938" operator="between">
      <formula>0.76</formula>
      <formula>0.95</formula>
    </cfRule>
    <cfRule type="cellIs" dxfId="8248" priority="10939" operator="between">
      <formula>0.51</formula>
      <formula>0.75</formula>
    </cfRule>
    <cfRule type="cellIs" dxfId="8247" priority="10940" operator="greaterThan">
      <formula>1</formula>
    </cfRule>
    <cfRule type="cellIs" dxfId="8246" priority="10941" operator="between">
      <formula>0.95</formula>
      <formula>1</formula>
    </cfRule>
    <cfRule type="cellIs" dxfId="8245" priority="10942" stopIfTrue="1" operator="between">
      <formula>0</formula>
      <formula>0.5</formula>
    </cfRule>
  </conditionalFormatting>
  <conditionalFormatting sqref="AD212">
    <cfRule type="cellIs" dxfId="8244" priority="10933" operator="between">
      <formula>0.76</formula>
      <formula>0.95</formula>
    </cfRule>
    <cfRule type="cellIs" dxfId="8243" priority="10934" operator="between">
      <formula>0.51</formula>
      <formula>0.75</formula>
    </cfRule>
    <cfRule type="cellIs" dxfId="8242" priority="10935" operator="greaterThan">
      <formula>1</formula>
    </cfRule>
    <cfRule type="cellIs" dxfId="8241" priority="10936" operator="between">
      <formula>0.95</formula>
      <formula>1</formula>
    </cfRule>
    <cfRule type="cellIs" dxfId="8240" priority="10937" stopIfTrue="1" operator="between">
      <formula>0</formula>
      <formula>0.5</formula>
    </cfRule>
  </conditionalFormatting>
  <conditionalFormatting sqref="AD213">
    <cfRule type="cellIs" dxfId="8239" priority="10928" operator="between">
      <formula>0.76</formula>
      <formula>0.95</formula>
    </cfRule>
    <cfRule type="cellIs" dxfId="8238" priority="10929" operator="between">
      <formula>0.51</formula>
      <formula>0.75</formula>
    </cfRule>
    <cfRule type="cellIs" dxfId="8237" priority="10930" operator="greaterThan">
      <formula>1</formula>
    </cfRule>
    <cfRule type="cellIs" dxfId="8236" priority="10931" operator="between">
      <formula>0.95</formula>
      <formula>1</formula>
    </cfRule>
    <cfRule type="cellIs" dxfId="8235" priority="10932" stopIfTrue="1" operator="between">
      <formula>0</formula>
      <formula>0.5</formula>
    </cfRule>
  </conditionalFormatting>
  <conditionalFormatting sqref="AD215">
    <cfRule type="cellIs" dxfId="8234" priority="10923" operator="between">
      <formula>0.76</formula>
      <formula>0.95</formula>
    </cfRule>
    <cfRule type="cellIs" dxfId="8233" priority="10924" operator="between">
      <formula>0.51</formula>
      <formula>0.75</formula>
    </cfRule>
    <cfRule type="cellIs" dxfId="8232" priority="10925" operator="greaterThan">
      <formula>1</formula>
    </cfRule>
    <cfRule type="cellIs" dxfId="8231" priority="10926" operator="between">
      <formula>0.95</formula>
      <formula>1</formula>
    </cfRule>
    <cfRule type="cellIs" dxfId="8230" priority="10927" stopIfTrue="1" operator="between">
      <formula>0</formula>
      <formula>0.5</formula>
    </cfRule>
  </conditionalFormatting>
  <conditionalFormatting sqref="AD216">
    <cfRule type="cellIs" dxfId="8229" priority="10918" operator="between">
      <formula>0.76</formula>
      <formula>0.95</formula>
    </cfRule>
    <cfRule type="cellIs" dxfId="8228" priority="10919" operator="between">
      <formula>0.51</formula>
      <formula>0.75</formula>
    </cfRule>
    <cfRule type="cellIs" dxfId="8227" priority="10920" operator="greaterThan">
      <formula>1</formula>
    </cfRule>
    <cfRule type="cellIs" dxfId="8226" priority="10921" operator="between">
      <formula>0.95</formula>
      <formula>1</formula>
    </cfRule>
    <cfRule type="cellIs" dxfId="8225" priority="10922" stopIfTrue="1" operator="between">
      <formula>0</formula>
      <formula>0.5</formula>
    </cfRule>
  </conditionalFormatting>
  <conditionalFormatting sqref="AD217">
    <cfRule type="cellIs" dxfId="8224" priority="10913" operator="between">
      <formula>0.76</formula>
      <formula>0.95</formula>
    </cfRule>
    <cfRule type="cellIs" dxfId="8223" priority="10914" operator="between">
      <formula>0.51</formula>
      <formula>0.75</formula>
    </cfRule>
    <cfRule type="cellIs" dxfId="8222" priority="10915" operator="greaterThan">
      <formula>1</formula>
    </cfRule>
    <cfRule type="cellIs" dxfId="8221" priority="10916" operator="between">
      <formula>0.95</formula>
      <formula>1</formula>
    </cfRule>
    <cfRule type="cellIs" dxfId="8220" priority="10917" stopIfTrue="1" operator="between">
      <formula>0</formula>
      <formula>0.5</formula>
    </cfRule>
  </conditionalFormatting>
  <conditionalFormatting sqref="AD218">
    <cfRule type="cellIs" dxfId="8219" priority="10908" operator="between">
      <formula>0.76</formula>
      <formula>0.95</formula>
    </cfRule>
    <cfRule type="cellIs" dxfId="8218" priority="10909" operator="between">
      <formula>0.51</formula>
      <formula>0.75</formula>
    </cfRule>
    <cfRule type="cellIs" dxfId="8217" priority="10910" operator="greaterThan">
      <formula>1</formula>
    </cfRule>
    <cfRule type="cellIs" dxfId="8216" priority="10911" operator="between">
      <formula>0.95</formula>
      <formula>1</formula>
    </cfRule>
    <cfRule type="cellIs" dxfId="8215" priority="10912" stopIfTrue="1" operator="between">
      <formula>0</formula>
      <formula>0.5</formula>
    </cfRule>
  </conditionalFormatting>
  <conditionalFormatting sqref="AD220">
    <cfRule type="cellIs" dxfId="8214" priority="10898" operator="between">
      <formula>0.76</formula>
      <formula>0.95</formula>
    </cfRule>
    <cfRule type="cellIs" dxfId="8213" priority="10899" operator="between">
      <formula>0.51</formula>
      <formula>0.75</formula>
    </cfRule>
    <cfRule type="cellIs" dxfId="8212" priority="10900" operator="greaterThan">
      <formula>1</formula>
    </cfRule>
    <cfRule type="cellIs" dxfId="8211" priority="10901" operator="between">
      <formula>0.95</formula>
      <formula>1</formula>
    </cfRule>
    <cfRule type="cellIs" dxfId="8210" priority="10902" stopIfTrue="1" operator="between">
      <formula>0</formula>
      <formula>0.5</formula>
    </cfRule>
  </conditionalFormatting>
  <conditionalFormatting sqref="AD221">
    <cfRule type="cellIs" dxfId="8209" priority="10893" operator="between">
      <formula>0.76</formula>
      <formula>0.95</formula>
    </cfRule>
    <cfRule type="cellIs" dxfId="8208" priority="10894" operator="between">
      <formula>0.51</formula>
      <formula>0.75</formula>
    </cfRule>
    <cfRule type="cellIs" dxfId="8207" priority="10895" operator="greaterThan">
      <formula>1</formula>
    </cfRule>
    <cfRule type="cellIs" dxfId="8206" priority="10896" operator="between">
      <formula>0.95</formula>
      <formula>1</formula>
    </cfRule>
    <cfRule type="cellIs" dxfId="8205" priority="10897" stopIfTrue="1" operator="between">
      <formula>0</formula>
      <formula>0.5</formula>
    </cfRule>
  </conditionalFormatting>
  <conditionalFormatting sqref="AD222">
    <cfRule type="cellIs" dxfId="8204" priority="10888" operator="between">
      <formula>0.76</formula>
      <formula>0.95</formula>
    </cfRule>
    <cfRule type="cellIs" dxfId="8203" priority="10889" operator="between">
      <formula>0.51</formula>
      <formula>0.75</formula>
    </cfRule>
    <cfRule type="cellIs" dxfId="8202" priority="10890" operator="greaterThan">
      <formula>1</formula>
    </cfRule>
    <cfRule type="cellIs" dxfId="8201" priority="10891" operator="between">
      <formula>0.95</formula>
      <formula>1</formula>
    </cfRule>
    <cfRule type="cellIs" dxfId="8200" priority="10892" stopIfTrue="1" operator="between">
      <formula>0</formula>
      <formula>0.5</formula>
    </cfRule>
  </conditionalFormatting>
  <conditionalFormatting sqref="AD223">
    <cfRule type="cellIs" dxfId="8199" priority="10883" operator="between">
      <formula>0.76</formula>
      <formula>0.95</formula>
    </cfRule>
    <cfRule type="cellIs" dxfId="8198" priority="10884" operator="between">
      <formula>0.51</formula>
      <formula>0.75</formula>
    </cfRule>
    <cfRule type="cellIs" dxfId="8197" priority="10885" operator="greaterThan">
      <formula>1</formula>
    </cfRule>
    <cfRule type="cellIs" dxfId="8196" priority="10886" operator="between">
      <formula>0.95</formula>
      <formula>1</formula>
    </cfRule>
    <cfRule type="cellIs" dxfId="8195" priority="10887" stopIfTrue="1" operator="between">
      <formula>0</formula>
      <formula>0.5</formula>
    </cfRule>
  </conditionalFormatting>
  <conditionalFormatting sqref="AD224">
    <cfRule type="cellIs" dxfId="8194" priority="10878" operator="between">
      <formula>0.76</formula>
      <formula>0.95</formula>
    </cfRule>
    <cfRule type="cellIs" dxfId="8193" priority="10879" operator="between">
      <formula>0.51</formula>
      <formula>0.75</formula>
    </cfRule>
    <cfRule type="cellIs" dxfId="8192" priority="10880" operator="greaterThan">
      <formula>1</formula>
    </cfRule>
    <cfRule type="cellIs" dxfId="8191" priority="10881" operator="between">
      <formula>0.95</formula>
      <formula>1</formula>
    </cfRule>
    <cfRule type="cellIs" dxfId="8190" priority="10882" stopIfTrue="1" operator="between">
      <formula>0</formula>
      <formula>0.5</formula>
    </cfRule>
  </conditionalFormatting>
  <conditionalFormatting sqref="AD225">
    <cfRule type="cellIs" dxfId="8189" priority="10873" operator="between">
      <formula>0.76</formula>
      <formula>0.95</formula>
    </cfRule>
    <cfRule type="cellIs" dxfId="8188" priority="10874" operator="between">
      <formula>0.51</formula>
      <formula>0.75</formula>
    </cfRule>
    <cfRule type="cellIs" dxfId="8187" priority="10875" operator="greaterThan">
      <formula>1</formula>
    </cfRule>
    <cfRule type="cellIs" dxfId="8186" priority="10876" operator="between">
      <formula>0.95</formula>
      <formula>1</formula>
    </cfRule>
    <cfRule type="cellIs" dxfId="8185" priority="10877" stopIfTrue="1" operator="between">
      <formula>0</formula>
      <formula>0.5</formula>
    </cfRule>
  </conditionalFormatting>
  <conditionalFormatting sqref="R15">
    <cfRule type="cellIs" dxfId="8184" priority="9278" operator="between">
      <formula>0.3751</formula>
      <formula>0.475</formula>
    </cfRule>
    <cfRule type="cellIs" dxfId="8183" priority="9279" operator="between">
      <formula>0.2551</formula>
      <formula>0.375</formula>
    </cfRule>
    <cfRule type="cellIs" dxfId="8182" priority="9280" operator="greaterThan">
      <formula>0.505</formula>
    </cfRule>
    <cfRule type="cellIs" dxfId="8181" priority="9281" operator="between">
      <formula>0.48</formula>
      <formula>0.5</formula>
    </cfRule>
    <cfRule type="cellIs" dxfId="8180" priority="9282" stopIfTrue="1" operator="between">
      <formula>0</formula>
      <formula>0.255</formula>
    </cfRule>
  </conditionalFormatting>
  <conditionalFormatting sqref="R225">
    <cfRule type="cellIs" dxfId="8179" priority="8313" operator="between">
      <formula>0.38</formula>
      <formula>0.475</formula>
    </cfRule>
    <cfRule type="cellIs" dxfId="8178" priority="8314" operator="between">
      <formula>0.2551</formula>
      <formula>0.375</formula>
    </cfRule>
    <cfRule type="cellIs" dxfId="8177" priority="8315" operator="greaterThan">
      <formula>0.505</formula>
    </cfRule>
    <cfRule type="cellIs" dxfId="8176" priority="8316" operator="between">
      <formula>0.48</formula>
      <formula>0.51</formula>
    </cfRule>
    <cfRule type="cellIs" dxfId="8175" priority="8317" stopIfTrue="1" operator="between">
      <formula>0</formula>
      <formula>0.255</formula>
    </cfRule>
  </conditionalFormatting>
  <conditionalFormatting sqref="Y15">
    <cfRule type="cellIs" dxfId="8174" priority="8308" operator="between">
      <formula>0.76</formula>
      <formula>0.95</formula>
    </cfRule>
    <cfRule type="cellIs" dxfId="8173" priority="8309" operator="between">
      <formula>0.51</formula>
      <formula>0.75</formula>
    </cfRule>
    <cfRule type="cellIs" dxfId="8172" priority="8310" operator="greaterThan">
      <formula>1</formula>
    </cfRule>
    <cfRule type="cellIs" dxfId="8171" priority="8311" operator="between">
      <formula>0.95</formula>
      <formula>1</formula>
    </cfRule>
    <cfRule type="cellIs" dxfId="8170" priority="8312" stopIfTrue="1" operator="between">
      <formula>0</formula>
      <formula>0.5</formula>
    </cfRule>
  </conditionalFormatting>
  <conditionalFormatting sqref="Y16">
    <cfRule type="cellIs" dxfId="8169" priority="8303" operator="between">
      <formula>0.76</formula>
      <formula>0.95</formula>
    </cfRule>
    <cfRule type="cellIs" dxfId="8168" priority="8304" operator="between">
      <formula>0.51</formula>
      <formula>0.75</formula>
    </cfRule>
    <cfRule type="cellIs" dxfId="8167" priority="8305" operator="greaterThan">
      <formula>1</formula>
    </cfRule>
    <cfRule type="cellIs" dxfId="8166" priority="8306" operator="between">
      <formula>0.95</formula>
      <formula>1</formula>
    </cfRule>
    <cfRule type="cellIs" dxfId="8165" priority="8307" stopIfTrue="1" operator="between">
      <formula>0</formula>
      <formula>0.5</formula>
    </cfRule>
  </conditionalFormatting>
  <conditionalFormatting sqref="Y17">
    <cfRule type="cellIs" dxfId="8164" priority="8298" operator="between">
      <formula>0.76</formula>
      <formula>0.95</formula>
    </cfRule>
    <cfRule type="cellIs" dxfId="8163" priority="8299" operator="between">
      <formula>0.51</formula>
      <formula>0.75</formula>
    </cfRule>
    <cfRule type="cellIs" dxfId="8162" priority="8300" operator="greaterThan">
      <formula>1</formula>
    </cfRule>
    <cfRule type="cellIs" dxfId="8161" priority="8301" operator="between">
      <formula>0.95</formula>
      <formula>1</formula>
    </cfRule>
    <cfRule type="cellIs" dxfId="8160" priority="8302" stopIfTrue="1" operator="between">
      <formula>0</formula>
      <formula>0.5</formula>
    </cfRule>
  </conditionalFormatting>
  <conditionalFormatting sqref="Y19">
    <cfRule type="cellIs" dxfId="8159" priority="8278" operator="between">
      <formula>0.76</formula>
      <formula>0.95</formula>
    </cfRule>
    <cfRule type="cellIs" dxfId="8158" priority="8279" operator="between">
      <formula>0.51</formula>
      <formula>0.75</formula>
    </cfRule>
    <cfRule type="cellIs" dxfId="8157" priority="8280" operator="greaterThan">
      <formula>1</formula>
    </cfRule>
    <cfRule type="cellIs" dxfId="8156" priority="8281" operator="between">
      <formula>0.95</formula>
      <formula>1</formula>
    </cfRule>
    <cfRule type="cellIs" dxfId="8155" priority="8282" stopIfTrue="1" operator="between">
      <formula>0</formula>
      <formula>0.5</formula>
    </cfRule>
  </conditionalFormatting>
  <conditionalFormatting sqref="Y18">
    <cfRule type="cellIs" dxfId="8154" priority="8273" operator="between">
      <formula>0.76</formula>
      <formula>0.95</formula>
    </cfRule>
    <cfRule type="cellIs" dxfId="8153" priority="8274" operator="between">
      <formula>0.51</formula>
      <formula>0.75</formula>
    </cfRule>
    <cfRule type="cellIs" dxfId="8152" priority="8275" operator="greaterThan">
      <formula>1</formula>
    </cfRule>
    <cfRule type="cellIs" dxfId="8151" priority="8276" operator="between">
      <formula>0.95</formula>
      <formula>1</formula>
    </cfRule>
    <cfRule type="cellIs" dxfId="8150" priority="8277" stopIfTrue="1" operator="between">
      <formula>0</formula>
      <formula>0.5</formula>
    </cfRule>
  </conditionalFormatting>
  <conditionalFormatting sqref="Y20">
    <cfRule type="cellIs" dxfId="8149" priority="8268" operator="between">
      <formula>0.76</formula>
      <formula>0.95</formula>
    </cfRule>
    <cfRule type="cellIs" dxfId="8148" priority="8269" operator="between">
      <formula>0.51</formula>
      <formula>0.75</formula>
    </cfRule>
    <cfRule type="cellIs" dxfId="8147" priority="8270" operator="greaterThan">
      <formula>1</formula>
    </cfRule>
    <cfRule type="cellIs" dxfId="8146" priority="8271" operator="between">
      <formula>0.95</formula>
      <formula>1</formula>
    </cfRule>
    <cfRule type="cellIs" dxfId="8145" priority="8272" stopIfTrue="1" operator="between">
      <formula>0</formula>
      <formula>0.5</formula>
    </cfRule>
  </conditionalFormatting>
  <conditionalFormatting sqref="Y21">
    <cfRule type="cellIs" dxfId="8144" priority="8263" operator="between">
      <formula>0.76</formula>
      <formula>0.95</formula>
    </cfRule>
    <cfRule type="cellIs" dxfId="8143" priority="8264" operator="between">
      <formula>0.51</formula>
      <formula>0.75</formula>
    </cfRule>
    <cfRule type="cellIs" dxfId="8142" priority="8265" operator="greaterThan">
      <formula>1</formula>
    </cfRule>
    <cfRule type="cellIs" dxfId="8141" priority="8266" operator="between">
      <formula>0.95</formula>
      <formula>1</formula>
    </cfRule>
    <cfRule type="cellIs" dxfId="8140" priority="8267" stopIfTrue="1" operator="between">
      <formula>0</formula>
      <formula>0.5</formula>
    </cfRule>
  </conditionalFormatting>
  <conditionalFormatting sqref="Y22">
    <cfRule type="cellIs" dxfId="8139" priority="8258" operator="between">
      <formula>0.76</formula>
      <formula>0.95</formula>
    </cfRule>
    <cfRule type="cellIs" dxfId="8138" priority="8259" operator="between">
      <formula>0.51</formula>
      <formula>0.75</formula>
    </cfRule>
    <cfRule type="cellIs" dxfId="8137" priority="8260" operator="greaterThan">
      <formula>1</formula>
    </cfRule>
    <cfRule type="cellIs" dxfId="8136" priority="8261" operator="between">
      <formula>0.95</formula>
      <formula>1</formula>
    </cfRule>
    <cfRule type="cellIs" dxfId="8135" priority="8262" stopIfTrue="1" operator="between">
      <formula>0</formula>
      <formula>0.5</formula>
    </cfRule>
  </conditionalFormatting>
  <conditionalFormatting sqref="Y23">
    <cfRule type="cellIs" dxfId="8134" priority="8253" operator="between">
      <formula>0.76</formula>
      <formula>0.95</formula>
    </cfRule>
    <cfRule type="cellIs" dxfId="8133" priority="8254" operator="between">
      <formula>0.51</formula>
      <formula>0.75</formula>
    </cfRule>
    <cfRule type="cellIs" dxfId="8132" priority="8255" operator="greaterThan">
      <formula>1</formula>
    </cfRule>
    <cfRule type="cellIs" dxfId="8131" priority="8256" operator="between">
      <formula>0.95</formula>
      <formula>1</formula>
    </cfRule>
    <cfRule type="cellIs" dxfId="8130" priority="8257" stopIfTrue="1" operator="between">
      <formula>0</formula>
      <formula>0.5</formula>
    </cfRule>
  </conditionalFormatting>
  <conditionalFormatting sqref="Y25">
    <cfRule type="cellIs" dxfId="8129" priority="8248" operator="between">
      <formula>0.76</formula>
      <formula>0.95</formula>
    </cfRule>
    <cfRule type="cellIs" dxfId="8128" priority="8249" operator="between">
      <formula>0.51</formula>
      <formula>0.75</formula>
    </cfRule>
    <cfRule type="cellIs" dxfId="8127" priority="8250" operator="greaterThan">
      <formula>1</formula>
    </cfRule>
    <cfRule type="cellIs" dxfId="8126" priority="8251" operator="between">
      <formula>0.95</formula>
      <formula>1</formula>
    </cfRule>
    <cfRule type="cellIs" dxfId="8125" priority="8252" stopIfTrue="1" operator="between">
      <formula>0</formula>
      <formula>0.5</formula>
    </cfRule>
  </conditionalFormatting>
  <conditionalFormatting sqref="Y26">
    <cfRule type="cellIs" dxfId="8124" priority="8243" operator="between">
      <formula>0.76</formula>
      <formula>0.95</formula>
    </cfRule>
    <cfRule type="cellIs" dxfId="8123" priority="8244" operator="between">
      <formula>0.51</formula>
      <formula>0.75</formula>
    </cfRule>
    <cfRule type="cellIs" dxfId="8122" priority="8245" operator="greaterThan">
      <formula>1</formula>
    </cfRule>
    <cfRule type="cellIs" dxfId="8121" priority="8246" operator="between">
      <formula>0.95</formula>
      <formula>1</formula>
    </cfRule>
    <cfRule type="cellIs" dxfId="8120" priority="8247" stopIfTrue="1" operator="between">
      <formula>0</formula>
      <formula>0.5</formula>
    </cfRule>
  </conditionalFormatting>
  <conditionalFormatting sqref="Y27">
    <cfRule type="cellIs" dxfId="8119" priority="8233" operator="between">
      <formula>0.76</formula>
      <formula>0.95</formula>
    </cfRule>
    <cfRule type="cellIs" dxfId="8118" priority="8234" operator="between">
      <formula>0.51</formula>
      <formula>0.75</formula>
    </cfRule>
    <cfRule type="cellIs" dxfId="8117" priority="8235" operator="greaterThan">
      <formula>1</formula>
    </cfRule>
    <cfRule type="cellIs" dxfId="8116" priority="8236" operator="between">
      <formula>0.95</formula>
      <formula>1</formula>
    </cfRule>
    <cfRule type="cellIs" dxfId="8115" priority="8237" stopIfTrue="1" operator="between">
      <formula>0</formula>
      <formula>0.5</formula>
    </cfRule>
  </conditionalFormatting>
  <conditionalFormatting sqref="Y28">
    <cfRule type="cellIs" dxfId="8114" priority="8228" operator="between">
      <formula>0.76</formula>
      <formula>0.95</formula>
    </cfRule>
    <cfRule type="cellIs" dxfId="8113" priority="8229" operator="between">
      <formula>0.51</formula>
      <formula>0.75</formula>
    </cfRule>
    <cfRule type="cellIs" dxfId="8112" priority="8230" operator="greaterThan">
      <formula>1</formula>
    </cfRule>
    <cfRule type="cellIs" dxfId="8111" priority="8231" operator="between">
      <formula>0.95</formula>
      <formula>1</formula>
    </cfRule>
    <cfRule type="cellIs" dxfId="8110" priority="8232" stopIfTrue="1" operator="between">
      <formula>0</formula>
      <formula>0.5</formula>
    </cfRule>
  </conditionalFormatting>
  <conditionalFormatting sqref="Y29">
    <cfRule type="cellIs" dxfId="8109" priority="8223" operator="between">
      <formula>0.76</formula>
      <formula>0.95</formula>
    </cfRule>
    <cfRule type="cellIs" dxfId="8108" priority="8224" operator="between">
      <formula>0.51</formula>
      <formula>0.75</formula>
    </cfRule>
    <cfRule type="cellIs" dxfId="8107" priority="8225" operator="greaterThan">
      <formula>1</formula>
    </cfRule>
    <cfRule type="cellIs" dxfId="8106" priority="8226" operator="between">
      <formula>0.95</formula>
      <formula>1</formula>
    </cfRule>
    <cfRule type="cellIs" dxfId="8105" priority="8227" stopIfTrue="1" operator="between">
      <formula>0</formula>
      <formula>0.5</formula>
    </cfRule>
  </conditionalFormatting>
  <conditionalFormatting sqref="Y30">
    <cfRule type="cellIs" dxfId="8104" priority="8218" operator="between">
      <formula>0.76</formula>
      <formula>0.95</formula>
    </cfRule>
    <cfRule type="cellIs" dxfId="8103" priority="8219" operator="between">
      <formula>0.51</formula>
      <formula>0.75</formula>
    </cfRule>
    <cfRule type="cellIs" dxfId="8102" priority="8220" operator="greaterThan">
      <formula>1</formula>
    </cfRule>
    <cfRule type="cellIs" dxfId="8101" priority="8221" operator="between">
      <formula>0.95</formula>
      <formula>1</formula>
    </cfRule>
    <cfRule type="cellIs" dxfId="8100" priority="8222" stopIfTrue="1" operator="between">
      <formula>0</formula>
      <formula>0.5</formula>
    </cfRule>
  </conditionalFormatting>
  <conditionalFormatting sqref="Y31">
    <cfRule type="cellIs" dxfId="8099" priority="8213" operator="between">
      <formula>0.76</formula>
      <formula>0.95</formula>
    </cfRule>
    <cfRule type="cellIs" dxfId="8098" priority="8214" operator="between">
      <formula>0.51</formula>
      <formula>0.75</formula>
    </cfRule>
    <cfRule type="cellIs" dxfId="8097" priority="8215" operator="greaterThan">
      <formula>1</formula>
    </cfRule>
    <cfRule type="cellIs" dxfId="8096" priority="8216" operator="between">
      <formula>0.95</formula>
      <formula>1</formula>
    </cfRule>
    <cfRule type="cellIs" dxfId="8095" priority="8217" stopIfTrue="1" operator="between">
      <formula>0</formula>
      <formula>0.5</formula>
    </cfRule>
  </conditionalFormatting>
  <conditionalFormatting sqref="Y35">
    <cfRule type="cellIs" dxfId="8094" priority="8208" operator="between">
      <formula>0.76</formula>
      <formula>0.95</formula>
    </cfRule>
    <cfRule type="cellIs" dxfId="8093" priority="8209" operator="between">
      <formula>0.51</formula>
      <formula>0.75</formula>
    </cfRule>
    <cfRule type="cellIs" dxfId="8092" priority="8210" operator="greaterThan">
      <formula>1</formula>
    </cfRule>
    <cfRule type="cellIs" dxfId="8091" priority="8211" operator="between">
      <formula>0.95</formula>
      <formula>1</formula>
    </cfRule>
    <cfRule type="cellIs" dxfId="8090" priority="8212" stopIfTrue="1" operator="between">
      <formula>0</formula>
      <formula>0.5</formula>
    </cfRule>
  </conditionalFormatting>
  <conditionalFormatting sqref="Y36">
    <cfRule type="cellIs" dxfId="8089" priority="8198" operator="between">
      <formula>0.76</formula>
      <formula>0.95</formula>
    </cfRule>
    <cfRule type="cellIs" dxfId="8088" priority="8199" operator="between">
      <formula>0.51</formula>
      <formula>0.75</formula>
    </cfRule>
    <cfRule type="cellIs" dxfId="8087" priority="8200" operator="greaterThan">
      <formula>1</formula>
    </cfRule>
    <cfRule type="cellIs" dxfId="8086" priority="8201" operator="between">
      <formula>0.95</formula>
      <formula>1</formula>
    </cfRule>
    <cfRule type="cellIs" dxfId="8085" priority="8202" stopIfTrue="1" operator="between">
      <formula>0</formula>
      <formula>0.5</formula>
    </cfRule>
  </conditionalFormatting>
  <conditionalFormatting sqref="Y37">
    <cfRule type="cellIs" dxfId="8084" priority="8193" operator="between">
      <formula>0.76</formula>
      <formula>0.95</formula>
    </cfRule>
    <cfRule type="cellIs" dxfId="8083" priority="8194" operator="between">
      <formula>0.51</formula>
      <formula>0.75</formula>
    </cfRule>
    <cfRule type="cellIs" dxfId="8082" priority="8195" operator="greaterThan">
      <formula>1</formula>
    </cfRule>
    <cfRule type="cellIs" dxfId="8081" priority="8196" operator="between">
      <formula>0.95</formula>
      <formula>1</formula>
    </cfRule>
    <cfRule type="cellIs" dxfId="8080" priority="8197" stopIfTrue="1" operator="between">
      <formula>0</formula>
      <formula>0.5</formula>
    </cfRule>
  </conditionalFormatting>
  <conditionalFormatting sqref="Y38">
    <cfRule type="cellIs" dxfId="8079" priority="8188" operator="between">
      <formula>0.76</formula>
      <formula>0.95</formula>
    </cfRule>
    <cfRule type="cellIs" dxfId="8078" priority="8189" operator="between">
      <formula>0.51</formula>
      <formula>0.75</formula>
    </cfRule>
    <cfRule type="cellIs" dxfId="8077" priority="8190" operator="greaterThan">
      <formula>1</formula>
    </cfRule>
    <cfRule type="cellIs" dxfId="8076" priority="8191" operator="between">
      <formula>0.95</formula>
      <formula>1</formula>
    </cfRule>
    <cfRule type="cellIs" dxfId="8075" priority="8192" stopIfTrue="1" operator="between">
      <formula>0</formula>
      <formula>0.5</formula>
    </cfRule>
  </conditionalFormatting>
  <conditionalFormatting sqref="Y39">
    <cfRule type="cellIs" dxfId="8074" priority="8183" operator="between">
      <formula>0.76</formula>
      <formula>0.95</formula>
    </cfRule>
    <cfRule type="cellIs" dxfId="8073" priority="8184" operator="between">
      <formula>0.51</formula>
      <formula>0.75</formula>
    </cfRule>
    <cfRule type="cellIs" dxfId="8072" priority="8185" operator="greaterThan">
      <formula>1</formula>
    </cfRule>
    <cfRule type="cellIs" dxfId="8071" priority="8186" operator="between">
      <formula>0.95</formula>
      <formula>1</formula>
    </cfRule>
    <cfRule type="cellIs" dxfId="8070" priority="8187" stopIfTrue="1" operator="between">
      <formula>0</formula>
      <formula>0.5</formula>
    </cfRule>
  </conditionalFormatting>
  <conditionalFormatting sqref="Y40">
    <cfRule type="cellIs" dxfId="8069" priority="8178" operator="between">
      <formula>0.76</formula>
      <formula>0.95</formula>
    </cfRule>
    <cfRule type="cellIs" dxfId="8068" priority="8179" operator="between">
      <formula>0.51</formula>
      <formula>0.75</formula>
    </cfRule>
    <cfRule type="cellIs" dxfId="8067" priority="8180" operator="greaterThan">
      <formula>1</formula>
    </cfRule>
    <cfRule type="cellIs" dxfId="8066" priority="8181" operator="between">
      <formula>0.95</formula>
      <formula>1</formula>
    </cfRule>
    <cfRule type="cellIs" dxfId="8065" priority="8182" stopIfTrue="1" operator="between">
      <formula>0</formula>
      <formula>0.5</formula>
    </cfRule>
  </conditionalFormatting>
  <conditionalFormatting sqref="Y41">
    <cfRule type="cellIs" dxfId="8064" priority="8173" operator="between">
      <formula>0.76</formula>
      <formula>0.95</formula>
    </cfRule>
    <cfRule type="cellIs" dxfId="8063" priority="8174" operator="between">
      <formula>0.51</formula>
      <formula>0.75</formula>
    </cfRule>
    <cfRule type="cellIs" dxfId="8062" priority="8175" operator="greaterThan">
      <formula>1</formula>
    </cfRule>
    <cfRule type="cellIs" dxfId="8061" priority="8176" operator="between">
      <formula>0.95</formula>
      <formula>1</formula>
    </cfRule>
    <cfRule type="cellIs" dxfId="8060" priority="8177" stopIfTrue="1" operator="between">
      <formula>0</formula>
      <formula>0.5</formula>
    </cfRule>
  </conditionalFormatting>
  <conditionalFormatting sqref="Y42">
    <cfRule type="cellIs" dxfId="8059" priority="8168" operator="between">
      <formula>0.76</formula>
      <formula>0.95</formula>
    </cfRule>
    <cfRule type="cellIs" dxfId="8058" priority="8169" operator="between">
      <formula>0.51</formula>
      <formula>0.75</formula>
    </cfRule>
    <cfRule type="cellIs" dxfId="8057" priority="8170" operator="greaterThan">
      <formula>1</formula>
    </cfRule>
    <cfRule type="cellIs" dxfId="8056" priority="8171" operator="between">
      <formula>0.95</formula>
      <formula>1</formula>
    </cfRule>
    <cfRule type="cellIs" dxfId="8055" priority="8172" stopIfTrue="1" operator="between">
      <formula>0</formula>
      <formula>0.5</formula>
    </cfRule>
  </conditionalFormatting>
  <conditionalFormatting sqref="Y43">
    <cfRule type="cellIs" dxfId="8054" priority="8163" operator="between">
      <formula>0.76</formula>
      <formula>0.95</formula>
    </cfRule>
    <cfRule type="cellIs" dxfId="8053" priority="8164" operator="between">
      <formula>0.51</formula>
      <formula>0.75</formula>
    </cfRule>
    <cfRule type="cellIs" dxfId="8052" priority="8165" operator="greaterThan">
      <formula>1</formula>
    </cfRule>
    <cfRule type="cellIs" dxfId="8051" priority="8166" operator="between">
      <formula>0.95</formula>
      <formula>1</formula>
    </cfRule>
    <cfRule type="cellIs" dxfId="8050" priority="8167" stopIfTrue="1" operator="between">
      <formula>0</formula>
      <formula>0.5</formula>
    </cfRule>
  </conditionalFormatting>
  <conditionalFormatting sqref="Y44">
    <cfRule type="cellIs" dxfId="8049" priority="8158" operator="between">
      <formula>0.76</formula>
      <formula>0.95</formula>
    </cfRule>
    <cfRule type="cellIs" dxfId="8048" priority="8159" operator="between">
      <formula>0.51</formula>
      <formula>0.75</formula>
    </cfRule>
    <cfRule type="cellIs" dxfId="8047" priority="8160" operator="greaterThan">
      <formula>1</formula>
    </cfRule>
    <cfRule type="cellIs" dxfId="8046" priority="8161" operator="between">
      <formula>0.95</formula>
      <formula>1</formula>
    </cfRule>
    <cfRule type="cellIs" dxfId="8045" priority="8162" stopIfTrue="1" operator="between">
      <formula>0</formula>
      <formula>0.5</formula>
    </cfRule>
  </conditionalFormatting>
  <conditionalFormatting sqref="Y45">
    <cfRule type="cellIs" dxfId="8044" priority="8153" operator="between">
      <formula>0.76</formula>
      <formula>0.95</formula>
    </cfRule>
    <cfRule type="cellIs" dxfId="8043" priority="8154" operator="between">
      <formula>0.51</formula>
      <formula>0.75</formula>
    </cfRule>
    <cfRule type="cellIs" dxfId="8042" priority="8155" operator="greaterThan">
      <formula>1</formula>
    </cfRule>
    <cfRule type="cellIs" dxfId="8041" priority="8156" operator="between">
      <formula>0.95</formula>
      <formula>1</formula>
    </cfRule>
    <cfRule type="cellIs" dxfId="8040" priority="8157" stopIfTrue="1" operator="between">
      <formula>0</formula>
      <formula>0.5</formula>
    </cfRule>
  </conditionalFormatting>
  <conditionalFormatting sqref="Y46">
    <cfRule type="cellIs" dxfId="8039" priority="8148" operator="between">
      <formula>0.76</formula>
      <formula>0.95</formula>
    </cfRule>
    <cfRule type="cellIs" dxfId="8038" priority="8149" operator="between">
      <formula>0.51</formula>
      <formula>0.75</formula>
    </cfRule>
    <cfRule type="cellIs" dxfId="8037" priority="8150" operator="greaterThan">
      <formula>1</formula>
    </cfRule>
    <cfRule type="cellIs" dxfId="8036" priority="8151" operator="between">
      <formula>0.95</formula>
      <formula>1</formula>
    </cfRule>
    <cfRule type="cellIs" dxfId="8035" priority="8152" stopIfTrue="1" operator="between">
      <formula>0</formula>
      <formula>0.5</formula>
    </cfRule>
  </conditionalFormatting>
  <conditionalFormatting sqref="Y47">
    <cfRule type="cellIs" dxfId="8034" priority="8143" operator="between">
      <formula>0.76</formula>
      <formula>0.95</formula>
    </cfRule>
    <cfRule type="cellIs" dxfId="8033" priority="8144" operator="between">
      <formula>0.51</formula>
      <formula>0.75</formula>
    </cfRule>
    <cfRule type="cellIs" dxfId="8032" priority="8145" operator="greaterThan">
      <formula>1</formula>
    </cfRule>
    <cfRule type="cellIs" dxfId="8031" priority="8146" operator="between">
      <formula>0.95</formula>
      <formula>1</formula>
    </cfRule>
    <cfRule type="cellIs" dxfId="8030" priority="8147" stopIfTrue="1" operator="between">
      <formula>0</formula>
      <formula>0.5</formula>
    </cfRule>
  </conditionalFormatting>
  <conditionalFormatting sqref="Y48">
    <cfRule type="cellIs" dxfId="8029" priority="8138" operator="between">
      <formula>0.76</formula>
      <formula>0.95</formula>
    </cfRule>
    <cfRule type="cellIs" dxfId="8028" priority="8139" operator="between">
      <formula>0.51</formula>
      <formula>0.75</formula>
    </cfRule>
    <cfRule type="cellIs" dxfId="8027" priority="8140" operator="greaterThan">
      <formula>1</formula>
    </cfRule>
    <cfRule type="cellIs" dxfId="8026" priority="8141" operator="between">
      <formula>0.95</formula>
      <formula>1</formula>
    </cfRule>
    <cfRule type="cellIs" dxfId="8025" priority="8142" stopIfTrue="1" operator="between">
      <formula>0</formula>
      <formula>0.5</formula>
    </cfRule>
  </conditionalFormatting>
  <conditionalFormatting sqref="Y49">
    <cfRule type="cellIs" dxfId="8024" priority="8133" operator="between">
      <formula>0.76</formula>
      <formula>0.95</formula>
    </cfRule>
    <cfRule type="cellIs" dxfId="8023" priority="8134" operator="between">
      <formula>0.51</formula>
      <formula>0.75</formula>
    </cfRule>
    <cfRule type="cellIs" dxfId="8022" priority="8135" operator="greaterThan">
      <formula>1</formula>
    </cfRule>
    <cfRule type="cellIs" dxfId="8021" priority="8136" operator="between">
      <formula>0.95</formula>
      <formula>1</formula>
    </cfRule>
    <cfRule type="cellIs" dxfId="8020" priority="8137" stopIfTrue="1" operator="between">
      <formula>0</formula>
      <formula>0.5</formula>
    </cfRule>
  </conditionalFormatting>
  <conditionalFormatting sqref="Y50">
    <cfRule type="cellIs" dxfId="8019" priority="8128" operator="between">
      <formula>0.76</formula>
      <formula>0.95</formula>
    </cfRule>
    <cfRule type="cellIs" dxfId="8018" priority="8129" operator="between">
      <formula>0.51</formula>
      <formula>0.75</formula>
    </cfRule>
    <cfRule type="cellIs" dxfId="8017" priority="8130" operator="greaterThan">
      <formula>1</formula>
    </cfRule>
    <cfRule type="cellIs" dxfId="8016" priority="8131" operator="between">
      <formula>0.95</formula>
      <formula>1</formula>
    </cfRule>
    <cfRule type="cellIs" dxfId="8015" priority="8132" stopIfTrue="1" operator="between">
      <formula>0</formula>
      <formula>0.5</formula>
    </cfRule>
  </conditionalFormatting>
  <conditionalFormatting sqref="Y51">
    <cfRule type="cellIs" dxfId="8014" priority="8123" operator="between">
      <formula>0.76</formula>
      <formula>0.95</formula>
    </cfRule>
    <cfRule type="cellIs" dxfId="8013" priority="8124" operator="between">
      <formula>0.51</formula>
      <formula>0.75</formula>
    </cfRule>
    <cfRule type="cellIs" dxfId="8012" priority="8125" operator="greaterThan">
      <formula>1</formula>
    </cfRule>
    <cfRule type="cellIs" dxfId="8011" priority="8126" operator="between">
      <formula>0.95</formula>
      <formula>1</formula>
    </cfRule>
    <cfRule type="cellIs" dxfId="8010" priority="8127" stopIfTrue="1" operator="between">
      <formula>0</formula>
      <formula>0.5</formula>
    </cfRule>
  </conditionalFormatting>
  <conditionalFormatting sqref="Y52">
    <cfRule type="cellIs" dxfId="8009" priority="8118" operator="between">
      <formula>0.76</formula>
      <formula>0.95</formula>
    </cfRule>
    <cfRule type="cellIs" dxfId="8008" priority="8119" operator="between">
      <formula>0.51</formula>
      <formula>0.75</formula>
    </cfRule>
    <cfRule type="cellIs" dxfId="8007" priority="8120" operator="greaterThan">
      <formula>1</formula>
    </cfRule>
    <cfRule type="cellIs" dxfId="8006" priority="8121" operator="between">
      <formula>0.95</formula>
      <formula>1</formula>
    </cfRule>
    <cfRule type="cellIs" dxfId="8005" priority="8122" stopIfTrue="1" operator="between">
      <formula>0</formula>
      <formula>0.5</formula>
    </cfRule>
  </conditionalFormatting>
  <conditionalFormatting sqref="Y53">
    <cfRule type="cellIs" dxfId="8004" priority="8113" operator="between">
      <formula>0.76</formula>
      <formula>0.95</formula>
    </cfRule>
    <cfRule type="cellIs" dxfId="8003" priority="8114" operator="between">
      <formula>0.51</formula>
      <formula>0.75</formula>
    </cfRule>
    <cfRule type="cellIs" dxfId="8002" priority="8115" operator="greaterThan">
      <formula>1</formula>
    </cfRule>
    <cfRule type="cellIs" dxfId="8001" priority="8116" operator="between">
      <formula>0.95</formula>
      <formula>1</formula>
    </cfRule>
    <cfRule type="cellIs" dxfId="8000" priority="8117" stopIfTrue="1" operator="between">
      <formula>0</formula>
      <formula>0.5</formula>
    </cfRule>
  </conditionalFormatting>
  <conditionalFormatting sqref="Y54">
    <cfRule type="cellIs" dxfId="7999" priority="8108" operator="between">
      <formula>0.76</formula>
      <formula>0.95</formula>
    </cfRule>
    <cfRule type="cellIs" dxfId="7998" priority="8109" operator="between">
      <formula>0.51</formula>
      <formula>0.75</formula>
    </cfRule>
    <cfRule type="cellIs" dxfId="7997" priority="8110" operator="greaterThan">
      <formula>1</formula>
    </cfRule>
    <cfRule type="cellIs" dxfId="7996" priority="8111" operator="between">
      <formula>0.95</formula>
      <formula>1</formula>
    </cfRule>
    <cfRule type="cellIs" dxfId="7995" priority="8112" stopIfTrue="1" operator="between">
      <formula>0</formula>
      <formula>0.5</formula>
    </cfRule>
  </conditionalFormatting>
  <conditionalFormatting sqref="Y56">
    <cfRule type="cellIs" dxfId="7994" priority="8103" operator="between">
      <formula>0.76</formula>
      <formula>0.95</formula>
    </cfRule>
    <cfRule type="cellIs" dxfId="7993" priority="8104" operator="between">
      <formula>0.51</formula>
      <formula>0.75</formula>
    </cfRule>
    <cfRule type="cellIs" dxfId="7992" priority="8105" operator="greaterThan">
      <formula>1</formula>
    </cfRule>
    <cfRule type="cellIs" dxfId="7991" priority="8106" operator="between">
      <formula>0.95</formula>
      <formula>1</formula>
    </cfRule>
    <cfRule type="cellIs" dxfId="7990" priority="8107" stopIfTrue="1" operator="between">
      <formula>0</formula>
      <formula>0.5</formula>
    </cfRule>
  </conditionalFormatting>
  <conditionalFormatting sqref="Y55">
    <cfRule type="cellIs" dxfId="7989" priority="8098" operator="between">
      <formula>0.76</formula>
      <formula>0.95</formula>
    </cfRule>
    <cfRule type="cellIs" dxfId="7988" priority="8099" operator="between">
      <formula>0.51</formula>
      <formula>0.75</formula>
    </cfRule>
    <cfRule type="cellIs" dxfId="7987" priority="8100" operator="greaterThan">
      <formula>1</formula>
    </cfRule>
    <cfRule type="cellIs" dxfId="7986" priority="8101" operator="between">
      <formula>0.95</formula>
      <formula>1</formula>
    </cfRule>
    <cfRule type="cellIs" dxfId="7985" priority="8102" stopIfTrue="1" operator="between">
      <formula>0</formula>
      <formula>0.5</formula>
    </cfRule>
  </conditionalFormatting>
  <conditionalFormatting sqref="Y57">
    <cfRule type="cellIs" dxfId="7984" priority="8093" operator="between">
      <formula>0.76</formula>
      <formula>0.95</formula>
    </cfRule>
    <cfRule type="cellIs" dxfId="7983" priority="8094" operator="between">
      <formula>0.51</formula>
      <formula>0.75</formula>
    </cfRule>
    <cfRule type="cellIs" dxfId="7982" priority="8095" operator="greaterThan">
      <formula>1</formula>
    </cfRule>
    <cfRule type="cellIs" dxfId="7981" priority="8096" operator="between">
      <formula>0.95</formula>
      <formula>1</formula>
    </cfRule>
    <cfRule type="cellIs" dxfId="7980" priority="8097" stopIfTrue="1" operator="between">
      <formula>0</formula>
      <formula>0.5</formula>
    </cfRule>
  </conditionalFormatting>
  <conditionalFormatting sqref="Y58">
    <cfRule type="cellIs" dxfId="7979" priority="8088" operator="between">
      <formula>0.76</formula>
      <formula>0.95</formula>
    </cfRule>
    <cfRule type="cellIs" dxfId="7978" priority="8089" operator="between">
      <formula>0.51</formula>
      <formula>0.75</formula>
    </cfRule>
    <cfRule type="cellIs" dxfId="7977" priority="8090" operator="greaterThan">
      <formula>1</formula>
    </cfRule>
    <cfRule type="cellIs" dxfId="7976" priority="8091" operator="between">
      <formula>0.95</formula>
      <formula>1</formula>
    </cfRule>
    <cfRule type="cellIs" dxfId="7975" priority="8092" stopIfTrue="1" operator="between">
      <formula>0</formula>
      <formula>0.5</formula>
    </cfRule>
  </conditionalFormatting>
  <conditionalFormatting sqref="Y60">
    <cfRule type="cellIs" dxfId="7974" priority="8078" operator="between">
      <formula>0.76</formula>
      <formula>0.95</formula>
    </cfRule>
    <cfRule type="cellIs" dxfId="7973" priority="8079" operator="between">
      <formula>0.51</formula>
      <formula>0.75</formula>
    </cfRule>
    <cfRule type="cellIs" dxfId="7972" priority="8080" operator="greaterThan">
      <formula>1</formula>
    </cfRule>
    <cfRule type="cellIs" dxfId="7971" priority="8081" operator="between">
      <formula>0.95</formula>
      <formula>1</formula>
    </cfRule>
    <cfRule type="cellIs" dxfId="7970" priority="8082" stopIfTrue="1" operator="between">
      <formula>0</formula>
      <formula>0.5</formula>
    </cfRule>
  </conditionalFormatting>
  <conditionalFormatting sqref="Y59">
    <cfRule type="cellIs" dxfId="7969" priority="8068" operator="between">
      <formula>0.76</formula>
      <formula>0.95</formula>
    </cfRule>
    <cfRule type="cellIs" dxfId="7968" priority="8069" operator="between">
      <formula>0.51</formula>
      <formula>0.75</formula>
    </cfRule>
    <cfRule type="cellIs" dxfId="7967" priority="8070" operator="greaterThan">
      <formula>1</formula>
    </cfRule>
    <cfRule type="cellIs" dxfId="7966" priority="8071" operator="between">
      <formula>0.95</formula>
      <formula>1</formula>
    </cfRule>
    <cfRule type="cellIs" dxfId="7965" priority="8072" stopIfTrue="1" operator="between">
      <formula>0</formula>
      <formula>0.5</formula>
    </cfRule>
  </conditionalFormatting>
  <conditionalFormatting sqref="Y61">
    <cfRule type="cellIs" dxfId="7964" priority="8063" operator="between">
      <formula>0.76</formula>
      <formula>0.95</formula>
    </cfRule>
    <cfRule type="cellIs" dxfId="7963" priority="8064" operator="between">
      <formula>0.51</formula>
      <formula>0.75</formula>
    </cfRule>
    <cfRule type="cellIs" dxfId="7962" priority="8065" operator="greaterThan">
      <formula>1</formula>
    </cfRule>
    <cfRule type="cellIs" dxfId="7961" priority="8066" operator="between">
      <formula>0.95</formula>
      <formula>1</formula>
    </cfRule>
    <cfRule type="cellIs" dxfId="7960" priority="8067" stopIfTrue="1" operator="between">
      <formula>0</formula>
      <formula>0.5</formula>
    </cfRule>
  </conditionalFormatting>
  <conditionalFormatting sqref="Y62">
    <cfRule type="cellIs" dxfId="7959" priority="8058" operator="between">
      <formula>0.76</formula>
      <formula>0.95</formula>
    </cfRule>
    <cfRule type="cellIs" dxfId="7958" priority="8059" operator="between">
      <formula>0.51</formula>
      <formula>0.75</formula>
    </cfRule>
    <cfRule type="cellIs" dxfId="7957" priority="8060" operator="greaterThan">
      <formula>1</formula>
    </cfRule>
    <cfRule type="cellIs" dxfId="7956" priority="8061" operator="between">
      <formula>0.95</formula>
      <formula>1</formula>
    </cfRule>
    <cfRule type="cellIs" dxfId="7955" priority="8062" stopIfTrue="1" operator="between">
      <formula>0</formula>
      <formula>0.5</formula>
    </cfRule>
  </conditionalFormatting>
  <conditionalFormatting sqref="Y64:Y65">
    <cfRule type="cellIs" dxfId="7954" priority="8048" operator="between">
      <formula>0.76</formula>
      <formula>0.95</formula>
    </cfRule>
    <cfRule type="cellIs" dxfId="7953" priority="8049" operator="between">
      <formula>0.51</formula>
      <formula>0.75</formula>
    </cfRule>
    <cfRule type="cellIs" dxfId="7952" priority="8050" operator="greaterThan">
      <formula>1</formula>
    </cfRule>
    <cfRule type="cellIs" dxfId="7951" priority="8051" operator="between">
      <formula>0.95</formula>
      <formula>1</formula>
    </cfRule>
    <cfRule type="cellIs" dxfId="7950" priority="8052" stopIfTrue="1" operator="between">
      <formula>0</formula>
      <formula>0.5</formula>
    </cfRule>
  </conditionalFormatting>
  <conditionalFormatting sqref="Y66">
    <cfRule type="cellIs" dxfId="7949" priority="8043" operator="between">
      <formula>0.76</formula>
      <formula>0.95</formula>
    </cfRule>
    <cfRule type="cellIs" dxfId="7948" priority="8044" operator="between">
      <formula>0.51</formula>
      <formula>0.75</formula>
    </cfRule>
    <cfRule type="cellIs" dxfId="7947" priority="8045" operator="greaterThan">
      <formula>1</formula>
    </cfRule>
    <cfRule type="cellIs" dxfId="7946" priority="8046" operator="between">
      <formula>0.95</formula>
      <formula>1</formula>
    </cfRule>
    <cfRule type="cellIs" dxfId="7945" priority="8047" stopIfTrue="1" operator="between">
      <formula>0</formula>
      <formula>0.5</formula>
    </cfRule>
  </conditionalFormatting>
  <conditionalFormatting sqref="Y67">
    <cfRule type="cellIs" dxfId="7944" priority="8038" operator="between">
      <formula>0.76</formula>
      <formula>0.95</formula>
    </cfRule>
    <cfRule type="cellIs" dxfId="7943" priority="8039" operator="between">
      <formula>0.51</formula>
      <formula>0.75</formula>
    </cfRule>
    <cfRule type="cellIs" dxfId="7942" priority="8040" operator="greaterThan">
      <formula>1</formula>
    </cfRule>
    <cfRule type="cellIs" dxfId="7941" priority="8041" operator="between">
      <formula>0.95</formula>
      <formula>1</formula>
    </cfRule>
    <cfRule type="cellIs" dxfId="7940" priority="8042" stopIfTrue="1" operator="between">
      <formula>0</formula>
      <formula>0.5</formula>
    </cfRule>
  </conditionalFormatting>
  <conditionalFormatting sqref="Y68">
    <cfRule type="cellIs" dxfId="7939" priority="8033" operator="between">
      <formula>0.76</formula>
      <formula>0.95</formula>
    </cfRule>
    <cfRule type="cellIs" dxfId="7938" priority="8034" operator="between">
      <formula>0.51</formula>
      <formula>0.75</formula>
    </cfRule>
    <cfRule type="cellIs" dxfId="7937" priority="8035" operator="greaterThan">
      <formula>1</formula>
    </cfRule>
    <cfRule type="cellIs" dxfId="7936" priority="8036" operator="between">
      <formula>0.95</formula>
      <formula>1</formula>
    </cfRule>
    <cfRule type="cellIs" dxfId="7935" priority="8037" stopIfTrue="1" operator="between">
      <formula>0</formula>
      <formula>0.5</formula>
    </cfRule>
  </conditionalFormatting>
  <conditionalFormatting sqref="Y69">
    <cfRule type="cellIs" dxfId="7934" priority="8028" operator="between">
      <formula>0.76</formula>
      <formula>0.95</formula>
    </cfRule>
    <cfRule type="cellIs" dxfId="7933" priority="8029" operator="between">
      <formula>0.51</formula>
      <formula>0.75</formula>
    </cfRule>
    <cfRule type="cellIs" dxfId="7932" priority="8030" operator="greaterThan">
      <formula>1</formula>
    </cfRule>
    <cfRule type="cellIs" dxfId="7931" priority="8031" operator="between">
      <formula>0.95</formula>
      <formula>1</formula>
    </cfRule>
    <cfRule type="cellIs" dxfId="7930" priority="8032" stopIfTrue="1" operator="between">
      <formula>0</formula>
      <formula>0.5</formula>
    </cfRule>
  </conditionalFormatting>
  <conditionalFormatting sqref="Y70">
    <cfRule type="cellIs" dxfId="7929" priority="8023" operator="between">
      <formula>0.76</formula>
      <formula>0.95</formula>
    </cfRule>
    <cfRule type="cellIs" dxfId="7928" priority="8024" operator="between">
      <formula>0.51</formula>
      <formula>0.75</formula>
    </cfRule>
    <cfRule type="cellIs" dxfId="7927" priority="8025" operator="greaterThan">
      <formula>1</formula>
    </cfRule>
    <cfRule type="cellIs" dxfId="7926" priority="8026" operator="between">
      <formula>0.95</formula>
      <formula>1</formula>
    </cfRule>
    <cfRule type="cellIs" dxfId="7925" priority="8027" stopIfTrue="1" operator="between">
      <formula>0</formula>
      <formula>0.5</formula>
    </cfRule>
  </conditionalFormatting>
  <conditionalFormatting sqref="Y71">
    <cfRule type="cellIs" dxfId="7924" priority="8018" operator="between">
      <formula>0.76</formula>
      <formula>0.95</formula>
    </cfRule>
    <cfRule type="cellIs" dxfId="7923" priority="8019" operator="between">
      <formula>0.51</formula>
      <formula>0.75</formula>
    </cfRule>
    <cfRule type="cellIs" dxfId="7922" priority="8020" operator="greaterThan">
      <formula>1</formula>
    </cfRule>
    <cfRule type="cellIs" dxfId="7921" priority="8021" operator="between">
      <formula>0.95</formula>
      <formula>1</formula>
    </cfRule>
    <cfRule type="cellIs" dxfId="7920" priority="8022" stopIfTrue="1" operator="between">
      <formula>0</formula>
      <formula>0.5</formula>
    </cfRule>
  </conditionalFormatting>
  <conditionalFormatting sqref="Y72">
    <cfRule type="cellIs" dxfId="7919" priority="8013" operator="between">
      <formula>0.76</formula>
      <formula>0.95</formula>
    </cfRule>
    <cfRule type="cellIs" dxfId="7918" priority="8014" operator="between">
      <formula>0.51</formula>
      <formula>0.75</formula>
    </cfRule>
    <cfRule type="cellIs" dxfId="7917" priority="8015" operator="greaterThan">
      <formula>1</formula>
    </cfRule>
    <cfRule type="cellIs" dxfId="7916" priority="8016" operator="between">
      <formula>0.95</formula>
      <formula>1</formula>
    </cfRule>
    <cfRule type="cellIs" dxfId="7915" priority="8017" stopIfTrue="1" operator="between">
      <formula>0</formula>
      <formula>0.5</formula>
    </cfRule>
  </conditionalFormatting>
  <conditionalFormatting sqref="Y75">
    <cfRule type="cellIs" dxfId="7914" priority="8008" operator="between">
      <formula>0.76</formula>
      <formula>0.95</formula>
    </cfRule>
    <cfRule type="cellIs" dxfId="7913" priority="8009" operator="between">
      <formula>0.51</formula>
      <formula>0.75</formula>
    </cfRule>
    <cfRule type="cellIs" dxfId="7912" priority="8010" operator="greaterThan">
      <formula>1</formula>
    </cfRule>
    <cfRule type="cellIs" dxfId="7911" priority="8011" operator="between">
      <formula>0.95</formula>
      <formula>1</formula>
    </cfRule>
    <cfRule type="cellIs" dxfId="7910" priority="8012" stopIfTrue="1" operator="between">
      <formula>0</formula>
      <formula>0.5</formula>
    </cfRule>
  </conditionalFormatting>
  <conditionalFormatting sqref="Y76">
    <cfRule type="cellIs" dxfId="7909" priority="8003" operator="between">
      <formula>0.76</formula>
      <formula>0.95</formula>
    </cfRule>
    <cfRule type="cellIs" dxfId="7908" priority="8004" operator="between">
      <formula>0.51</formula>
      <formula>0.75</formula>
    </cfRule>
    <cfRule type="cellIs" dxfId="7907" priority="8005" operator="greaterThan">
      <formula>1</formula>
    </cfRule>
    <cfRule type="cellIs" dxfId="7906" priority="8006" operator="between">
      <formula>0.95</formula>
      <formula>1</formula>
    </cfRule>
    <cfRule type="cellIs" dxfId="7905" priority="8007" stopIfTrue="1" operator="between">
      <formula>0</formula>
      <formula>0.5</formula>
    </cfRule>
  </conditionalFormatting>
  <conditionalFormatting sqref="Y77">
    <cfRule type="cellIs" dxfId="7904" priority="7998" operator="between">
      <formula>0.76</formula>
      <formula>0.95</formula>
    </cfRule>
    <cfRule type="cellIs" dxfId="7903" priority="7999" operator="between">
      <formula>0.51</formula>
      <formula>0.75</formula>
    </cfRule>
    <cfRule type="cellIs" dxfId="7902" priority="8000" operator="greaterThan">
      <formula>1</formula>
    </cfRule>
    <cfRule type="cellIs" dxfId="7901" priority="8001" operator="between">
      <formula>0.95</formula>
      <formula>1</formula>
    </cfRule>
    <cfRule type="cellIs" dxfId="7900" priority="8002" stopIfTrue="1" operator="between">
      <formula>0</formula>
      <formula>0.5</formula>
    </cfRule>
  </conditionalFormatting>
  <conditionalFormatting sqref="Y78">
    <cfRule type="cellIs" dxfId="7899" priority="7993" operator="between">
      <formula>0.76</formula>
      <formula>0.95</formula>
    </cfRule>
    <cfRule type="cellIs" dxfId="7898" priority="7994" operator="between">
      <formula>0.51</formula>
      <formula>0.75</formula>
    </cfRule>
    <cfRule type="cellIs" dxfId="7897" priority="7995" operator="greaterThan">
      <formula>1</formula>
    </cfRule>
    <cfRule type="cellIs" dxfId="7896" priority="7996" operator="between">
      <formula>0.95</formula>
      <formula>1</formula>
    </cfRule>
    <cfRule type="cellIs" dxfId="7895" priority="7997" stopIfTrue="1" operator="between">
      <formula>0</formula>
      <formula>0.5</formula>
    </cfRule>
  </conditionalFormatting>
  <conditionalFormatting sqref="Y81">
    <cfRule type="cellIs" dxfId="7894" priority="7988" operator="between">
      <formula>0.76</formula>
      <formula>0.95</formula>
    </cfRule>
    <cfRule type="cellIs" dxfId="7893" priority="7989" operator="between">
      <formula>0.51</formula>
      <formula>0.75</formula>
    </cfRule>
    <cfRule type="cellIs" dxfId="7892" priority="7990" operator="greaterThan">
      <formula>1</formula>
    </cfRule>
    <cfRule type="cellIs" dxfId="7891" priority="7991" operator="between">
      <formula>0.95</formula>
      <formula>1</formula>
    </cfRule>
    <cfRule type="cellIs" dxfId="7890" priority="7992" stopIfTrue="1" operator="between">
      <formula>0</formula>
      <formula>0.5</formula>
    </cfRule>
  </conditionalFormatting>
  <conditionalFormatting sqref="Y82">
    <cfRule type="cellIs" dxfId="7889" priority="7983" operator="between">
      <formula>0.76</formula>
      <formula>0.95</formula>
    </cfRule>
    <cfRule type="cellIs" dxfId="7888" priority="7984" operator="between">
      <formula>0.51</formula>
      <formula>0.75</formula>
    </cfRule>
    <cfRule type="cellIs" dxfId="7887" priority="7985" operator="greaterThan">
      <formula>1</formula>
    </cfRule>
    <cfRule type="cellIs" dxfId="7886" priority="7986" operator="between">
      <formula>0.95</formula>
      <formula>1</formula>
    </cfRule>
    <cfRule type="cellIs" dxfId="7885" priority="7987" stopIfTrue="1" operator="between">
      <formula>0</formula>
      <formula>0.5</formula>
    </cfRule>
  </conditionalFormatting>
  <conditionalFormatting sqref="Y83">
    <cfRule type="cellIs" dxfId="7884" priority="7978" operator="between">
      <formula>0.76</formula>
      <formula>0.95</formula>
    </cfRule>
    <cfRule type="cellIs" dxfId="7883" priority="7979" operator="between">
      <formula>0.51</formula>
      <formula>0.75</formula>
    </cfRule>
    <cfRule type="cellIs" dxfId="7882" priority="7980" operator="greaterThan">
      <formula>1</formula>
    </cfRule>
    <cfRule type="cellIs" dxfId="7881" priority="7981" operator="between">
      <formula>0.95</formula>
      <formula>1</formula>
    </cfRule>
    <cfRule type="cellIs" dxfId="7880" priority="7982" stopIfTrue="1" operator="between">
      <formula>0</formula>
      <formula>0.5</formula>
    </cfRule>
  </conditionalFormatting>
  <conditionalFormatting sqref="Y84">
    <cfRule type="cellIs" dxfId="7879" priority="7973" operator="between">
      <formula>0.76</formula>
      <formula>0.95</formula>
    </cfRule>
    <cfRule type="cellIs" dxfId="7878" priority="7974" operator="between">
      <formula>0.51</formula>
      <formula>0.75</formula>
    </cfRule>
    <cfRule type="cellIs" dxfId="7877" priority="7975" operator="greaterThan">
      <formula>1</formula>
    </cfRule>
    <cfRule type="cellIs" dxfId="7876" priority="7976" operator="between">
      <formula>0.95</formula>
      <formula>1</formula>
    </cfRule>
    <cfRule type="cellIs" dxfId="7875" priority="7977" stopIfTrue="1" operator="between">
      <formula>0</formula>
      <formula>0.5</formula>
    </cfRule>
  </conditionalFormatting>
  <conditionalFormatting sqref="Y85">
    <cfRule type="cellIs" dxfId="7874" priority="7968" operator="between">
      <formula>0.76</formula>
      <formula>0.95</formula>
    </cfRule>
    <cfRule type="cellIs" dxfId="7873" priority="7969" operator="between">
      <formula>0.51</formula>
      <formula>0.75</formula>
    </cfRule>
    <cfRule type="cellIs" dxfId="7872" priority="7970" operator="greaterThan">
      <formula>1</formula>
    </cfRule>
    <cfRule type="cellIs" dxfId="7871" priority="7971" operator="between">
      <formula>0.95</formula>
      <formula>1</formula>
    </cfRule>
    <cfRule type="cellIs" dxfId="7870" priority="7972" stopIfTrue="1" operator="between">
      <formula>0</formula>
      <formula>0.5</formula>
    </cfRule>
  </conditionalFormatting>
  <conditionalFormatting sqref="Y86">
    <cfRule type="cellIs" dxfId="7869" priority="7963" operator="between">
      <formula>0.76</formula>
      <formula>0.95</formula>
    </cfRule>
    <cfRule type="cellIs" dxfId="7868" priority="7964" operator="between">
      <formula>0.51</formula>
      <formula>0.75</formula>
    </cfRule>
    <cfRule type="cellIs" dxfId="7867" priority="7965" operator="greaterThan">
      <formula>1</formula>
    </cfRule>
    <cfRule type="cellIs" dxfId="7866" priority="7966" operator="between">
      <formula>0.95</formula>
      <formula>1</formula>
    </cfRule>
    <cfRule type="cellIs" dxfId="7865" priority="7967" stopIfTrue="1" operator="between">
      <formula>0</formula>
      <formula>0.5</formula>
    </cfRule>
  </conditionalFormatting>
  <conditionalFormatting sqref="Y91">
    <cfRule type="cellIs" dxfId="7864" priority="7958" operator="between">
      <formula>0.76</formula>
      <formula>0.95</formula>
    </cfRule>
    <cfRule type="cellIs" dxfId="7863" priority="7959" operator="between">
      <formula>0.51</formula>
      <formula>0.75</formula>
    </cfRule>
    <cfRule type="cellIs" dxfId="7862" priority="7960" operator="greaterThan">
      <formula>1</formula>
    </cfRule>
    <cfRule type="cellIs" dxfId="7861" priority="7961" operator="between">
      <formula>0.95</formula>
      <formula>1</formula>
    </cfRule>
    <cfRule type="cellIs" dxfId="7860" priority="7962" stopIfTrue="1" operator="between">
      <formula>0</formula>
      <formula>0.5</formula>
    </cfRule>
  </conditionalFormatting>
  <conditionalFormatting sqref="Y94">
    <cfRule type="cellIs" dxfId="7859" priority="7953" operator="between">
      <formula>0.76</formula>
      <formula>0.95</formula>
    </cfRule>
    <cfRule type="cellIs" dxfId="7858" priority="7954" operator="between">
      <formula>0.51</formula>
      <formula>0.75</formula>
    </cfRule>
    <cfRule type="cellIs" dxfId="7857" priority="7955" operator="greaterThan">
      <formula>1</formula>
    </cfRule>
    <cfRule type="cellIs" dxfId="7856" priority="7956" operator="between">
      <formula>0.95</formula>
      <formula>1</formula>
    </cfRule>
    <cfRule type="cellIs" dxfId="7855" priority="7957" stopIfTrue="1" operator="between">
      <formula>0</formula>
      <formula>0.5</formula>
    </cfRule>
  </conditionalFormatting>
  <conditionalFormatting sqref="Y95">
    <cfRule type="cellIs" dxfId="7854" priority="7948" operator="between">
      <formula>0.76</formula>
      <formula>0.95</formula>
    </cfRule>
    <cfRule type="cellIs" dxfId="7853" priority="7949" operator="between">
      <formula>0.51</formula>
      <formula>0.75</formula>
    </cfRule>
    <cfRule type="cellIs" dxfId="7852" priority="7950" operator="greaterThan">
      <formula>1</formula>
    </cfRule>
    <cfRule type="cellIs" dxfId="7851" priority="7951" operator="between">
      <formula>0.95</formula>
      <formula>1</formula>
    </cfRule>
    <cfRule type="cellIs" dxfId="7850" priority="7952" stopIfTrue="1" operator="between">
      <formula>0</formula>
      <formula>0.5</formula>
    </cfRule>
  </conditionalFormatting>
  <conditionalFormatting sqref="Y96">
    <cfRule type="cellIs" dxfId="7849" priority="7943" operator="between">
      <formula>0.76</formula>
      <formula>0.95</formula>
    </cfRule>
    <cfRule type="cellIs" dxfId="7848" priority="7944" operator="between">
      <formula>0.51</formula>
      <formula>0.75</formula>
    </cfRule>
    <cfRule type="cellIs" dxfId="7847" priority="7945" operator="greaterThan">
      <formula>1</formula>
    </cfRule>
    <cfRule type="cellIs" dxfId="7846" priority="7946" operator="between">
      <formula>0.95</formula>
      <formula>1</formula>
    </cfRule>
    <cfRule type="cellIs" dxfId="7845" priority="7947" stopIfTrue="1" operator="between">
      <formula>0</formula>
      <formula>0.5</formula>
    </cfRule>
  </conditionalFormatting>
  <conditionalFormatting sqref="Y97">
    <cfRule type="cellIs" dxfId="7844" priority="7938" operator="between">
      <formula>0.76</formula>
      <formula>0.95</formula>
    </cfRule>
    <cfRule type="cellIs" dxfId="7843" priority="7939" operator="between">
      <formula>0.51</formula>
      <formula>0.75</formula>
    </cfRule>
    <cfRule type="cellIs" dxfId="7842" priority="7940" operator="greaterThan">
      <formula>1</formula>
    </cfRule>
    <cfRule type="cellIs" dxfId="7841" priority="7941" operator="between">
      <formula>0.95</formula>
      <formula>1</formula>
    </cfRule>
    <cfRule type="cellIs" dxfId="7840" priority="7942" stopIfTrue="1" operator="between">
      <formula>0</formula>
      <formula>0.5</formula>
    </cfRule>
  </conditionalFormatting>
  <conditionalFormatting sqref="Y98">
    <cfRule type="cellIs" dxfId="7839" priority="7933" operator="between">
      <formula>0.76</formula>
      <formula>0.95</formula>
    </cfRule>
    <cfRule type="cellIs" dxfId="7838" priority="7934" operator="between">
      <formula>0.51</formula>
      <formula>0.75</formula>
    </cfRule>
    <cfRule type="cellIs" dxfId="7837" priority="7935" operator="greaterThan">
      <formula>1</formula>
    </cfRule>
    <cfRule type="cellIs" dxfId="7836" priority="7936" operator="between">
      <formula>0.95</formula>
      <formula>1</formula>
    </cfRule>
    <cfRule type="cellIs" dxfId="7835" priority="7937" stopIfTrue="1" operator="between">
      <formula>0</formula>
      <formula>0.5</formula>
    </cfRule>
  </conditionalFormatting>
  <conditionalFormatting sqref="Y99">
    <cfRule type="cellIs" dxfId="7834" priority="7928" operator="between">
      <formula>0.76</formula>
      <formula>0.95</formula>
    </cfRule>
    <cfRule type="cellIs" dxfId="7833" priority="7929" operator="between">
      <formula>0.51</formula>
      <formula>0.75</formula>
    </cfRule>
    <cfRule type="cellIs" dxfId="7832" priority="7930" operator="greaterThan">
      <formula>1</formula>
    </cfRule>
    <cfRule type="cellIs" dxfId="7831" priority="7931" operator="between">
      <formula>0.95</formula>
      <formula>1</formula>
    </cfRule>
    <cfRule type="cellIs" dxfId="7830" priority="7932" stopIfTrue="1" operator="between">
      <formula>0</formula>
      <formula>0.5</formula>
    </cfRule>
  </conditionalFormatting>
  <conditionalFormatting sqref="Y101">
    <cfRule type="cellIs" dxfId="7829" priority="7923" operator="between">
      <formula>0.76</formula>
      <formula>0.95</formula>
    </cfRule>
    <cfRule type="cellIs" dxfId="7828" priority="7924" operator="between">
      <formula>0.51</formula>
      <formula>0.75</formula>
    </cfRule>
    <cfRule type="cellIs" dxfId="7827" priority="7925" operator="greaterThan">
      <formula>1</formula>
    </cfRule>
    <cfRule type="cellIs" dxfId="7826" priority="7926" operator="between">
      <formula>0.95</formula>
      <formula>1</formula>
    </cfRule>
    <cfRule type="cellIs" dxfId="7825" priority="7927" stopIfTrue="1" operator="between">
      <formula>0</formula>
      <formula>0.5</formula>
    </cfRule>
  </conditionalFormatting>
  <conditionalFormatting sqref="Y102">
    <cfRule type="cellIs" dxfId="7824" priority="7913" operator="between">
      <formula>0.76</formula>
      <formula>0.95</formula>
    </cfRule>
    <cfRule type="cellIs" dxfId="7823" priority="7914" operator="between">
      <formula>0.51</formula>
      <formula>0.75</formula>
    </cfRule>
    <cfRule type="cellIs" dxfId="7822" priority="7915" operator="greaterThan">
      <formula>1</formula>
    </cfRule>
    <cfRule type="cellIs" dxfId="7821" priority="7916" operator="between">
      <formula>0.95</formula>
      <formula>1</formula>
    </cfRule>
    <cfRule type="cellIs" dxfId="7820" priority="7917" stopIfTrue="1" operator="between">
      <formula>0</formula>
      <formula>0.5</formula>
    </cfRule>
  </conditionalFormatting>
  <conditionalFormatting sqref="Y104">
    <cfRule type="cellIs" dxfId="7819" priority="7903" operator="between">
      <formula>0.76</formula>
      <formula>0.95</formula>
    </cfRule>
    <cfRule type="cellIs" dxfId="7818" priority="7904" operator="between">
      <formula>0.51</formula>
      <formula>0.75</formula>
    </cfRule>
    <cfRule type="cellIs" dxfId="7817" priority="7905" operator="greaterThan">
      <formula>1</formula>
    </cfRule>
    <cfRule type="cellIs" dxfId="7816" priority="7906" operator="between">
      <formula>0.95</formula>
      <formula>1</formula>
    </cfRule>
    <cfRule type="cellIs" dxfId="7815" priority="7907" stopIfTrue="1" operator="between">
      <formula>0</formula>
      <formula>0.5</formula>
    </cfRule>
  </conditionalFormatting>
  <conditionalFormatting sqref="Y106">
    <cfRule type="cellIs" dxfId="7814" priority="7893" operator="between">
      <formula>0.76</formula>
      <formula>0.95</formula>
    </cfRule>
    <cfRule type="cellIs" dxfId="7813" priority="7894" operator="between">
      <formula>0.51</formula>
      <formula>0.75</formula>
    </cfRule>
    <cfRule type="cellIs" dxfId="7812" priority="7895" operator="greaterThan">
      <formula>1</formula>
    </cfRule>
    <cfRule type="cellIs" dxfId="7811" priority="7896" operator="between">
      <formula>0.95</formula>
      <formula>1</formula>
    </cfRule>
    <cfRule type="cellIs" dxfId="7810" priority="7897" stopIfTrue="1" operator="between">
      <formula>0</formula>
      <formula>0.5</formula>
    </cfRule>
  </conditionalFormatting>
  <conditionalFormatting sqref="Y159">
    <cfRule type="cellIs" dxfId="7809" priority="7648" operator="between">
      <formula>0.76</formula>
      <formula>0.95</formula>
    </cfRule>
    <cfRule type="cellIs" dxfId="7808" priority="7649" operator="between">
      <formula>0.51</formula>
      <formula>0.75</formula>
    </cfRule>
    <cfRule type="cellIs" dxfId="7807" priority="7650" operator="greaterThan">
      <formula>1</formula>
    </cfRule>
    <cfRule type="cellIs" dxfId="7806" priority="7651" operator="between">
      <formula>0.95</formula>
      <formula>1</formula>
    </cfRule>
    <cfRule type="cellIs" dxfId="7805" priority="7652" stopIfTrue="1" operator="between">
      <formula>0</formula>
      <formula>0.5</formula>
    </cfRule>
  </conditionalFormatting>
  <conditionalFormatting sqref="Y108">
    <cfRule type="cellIs" dxfId="7804" priority="7883" operator="between">
      <formula>0.76</formula>
      <formula>0.95</formula>
    </cfRule>
    <cfRule type="cellIs" dxfId="7803" priority="7884" operator="between">
      <formula>0.51</formula>
      <formula>0.75</formula>
    </cfRule>
    <cfRule type="cellIs" dxfId="7802" priority="7885" operator="greaterThan">
      <formula>1</formula>
    </cfRule>
    <cfRule type="cellIs" dxfId="7801" priority="7886" operator="between">
      <formula>0.95</formula>
      <formula>1</formula>
    </cfRule>
    <cfRule type="cellIs" dxfId="7800" priority="7887" stopIfTrue="1" operator="between">
      <formula>0</formula>
      <formula>0.5</formula>
    </cfRule>
  </conditionalFormatting>
  <conditionalFormatting sqref="Y109">
    <cfRule type="cellIs" dxfId="7799" priority="7878" operator="between">
      <formula>0.76</formula>
      <formula>0.95</formula>
    </cfRule>
    <cfRule type="cellIs" dxfId="7798" priority="7879" operator="between">
      <formula>0.51</formula>
      <formula>0.75</formula>
    </cfRule>
    <cfRule type="cellIs" dxfId="7797" priority="7880" operator="greaterThan">
      <formula>1</formula>
    </cfRule>
    <cfRule type="cellIs" dxfId="7796" priority="7881" operator="between">
      <formula>0.95</formula>
      <formula>1</formula>
    </cfRule>
    <cfRule type="cellIs" dxfId="7795" priority="7882" stopIfTrue="1" operator="between">
      <formula>0</formula>
      <formula>0.5</formula>
    </cfRule>
  </conditionalFormatting>
  <conditionalFormatting sqref="Y110">
    <cfRule type="cellIs" dxfId="7794" priority="7873" operator="between">
      <formula>0.76</formula>
      <formula>0.95</formula>
    </cfRule>
    <cfRule type="cellIs" dxfId="7793" priority="7874" operator="between">
      <formula>0.51</formula>
      <formula>0.75</formula>
    </cfRule>
    <cfRule type="cellIs" dxfId="7792" priority="7875" operator="greaterThan">
      <formula>1</formula>
    </cfRule>
    <cfRule type="cellIs" dxfId="7791" priority="7876" operator="between">
      <formula>0.95</formula>
      <formula>1</formula>
    </cfRule>
    <cfRule type="cellIs" dxfId="7790" priority="7877" stopIfTrue="1" operator="between">
      <formula>0</formula>
      <formula>0.5</formula>
    </cfRule>
  </conditionalFormatting>
  <conditionalFormatting sqref="Y111">
    <cfRule type="cellIs" dxfId="7789" priority="7868" operator="between">
      <formula>0.76</formula>
      <formula>0.95</formula>
    </cfRule>
    <cfRule type="cellIs" dxfId="7788" priority="7869" operator="between">
      <formula>0.51</formula>
      <formula>0.75</formula>
    </cfRule>
    <cfRule type="cellIs" dxfId="7787" priority="7870" operator="greaterThan">
      <formula>1</formula>
    </cfRule>
    <cfRule type="cellIs" dxfId="7786" priority="7871" operator="between">
      <formula>0.95</formula>
      <formula>1</formula>
    </cfRule>
    <cfRule type="cellIs" dxfId="7785" priority="7872" stopIfTrue="1" operator="between">
      <formula>0</formula>
      <formula>0.5</formula>
    </cfRule>
  </conditionalFormatting>
  <conditionalFormatting sqref="Y112">
    <cfRule type="cellIs" dxfId="7784" priority="7863" operator="between">
      <formula>0.76</formula>
      <formula>0.95</formula>
    </cfRule>
    <cfRule type="cellIs" dxfId="7783" priority="7864" operator="between">
      <formula>0.51</formula>
      <formula>0.75</formula>
    </cfRule>
    <cfRule type="cellIs" dxfId="7782" priority="7865" operator="greaterThan">
      <formula>1</formula>
    </cfRule>
    <cfRule type="cellIs" dxfId="7781" priority="7866" operator="between">
      <formula>0.95</formula>
      <formula>1</formula>
    </cfRule>
    <cfRule type="cellIs" dxfId="7780" priority="7867" stopIfTrue="1" operator="between">
      <formula>0</formula>
      <formula>0.5</formula>
    </cfRule>
  </conditionalFormatting>
  <conditionalFormatting sqref="Y114">
    <cfRule type="cellIs" dxfId="7779" priority="7858" operator="between">
      <formula>0.76</formula>
      <formula>0.95</formula>
    </cfRule>
    <cfRule type="cellIs" dxfId="7778" priority="7859" operator="between">
      <formula>0.51</formula>
      <formula>0.75</formula>
    </cfRule>
    <cfRule type="cellIs" dxfId="7777" priority="7860" operator="greaterThan">
      <formula>1</formula>
    </cfRule>
    <cfRule type="cellIs" dxfId="7776" priority="7861" operator="between">
      <formula>0.95</formula>
      <formula>1</formula>
    </cfRule>
    <cfRule type="cellIs" dxfId="7775" priority="7862" stopIfTrue="1" operator="between">
      <formula>0</formula>
      <formula>0.5</formula>
    </cfRule>
  </conditionalFormatting>
  <conditionalFormatting sqref="Y115">
    <cfRule type="cellIs" dxfId="7774" priority="7853" operator="between">
      <formula>0.76</formula>
      <formula>0.95</formula>
    </cfRule>
    <cfRule type="cellIs" dxfId="7773" priority="7854" operator="between">
      <formula>0.51</formula>
      <formula>0.75</formula>
    </cfRule>
    <cfRule type="cellIs" dxfId="7772" priority="7855" operator="greaterThan">
      <formula>1</formula>
    </cfRule>
    <cfRule type="cellIs" dxfId="7771" priority="7856" operator="between">
      <formula>0.95</formula>
      <formula>1</formula>
    </cfRule>
    <cfRule type="cellIs" dxfId="7770" priority="7857" stopIfTrue="1" operator="between">
      <formula>0</formula>
      <formula>0.5</formula>
    </cfRule>
  </conditionalFormatting>
  <conditionalFormatting sqref="Y116">
    <cfRule type="cellIs" dxfId="7769" priority="7848" operator="between">
      <formula>0.76</formula>
      <formula>0.95</formula>
    </cfRule>
    <cfRule type="cellIs" dxfId="7768" priority="7849" operator="between">
      <formula>0.51</formula>
      <formula>0.75</formula>
    </cfRule>
    <cfRule type="cellIs" dxfId="7767" priority="7850" operator="greaterThan">
      <formula>1</formula>
    </cfRule>
    <cfRule type="cellIs" dxfId="7766" priority="7851" operator="between">
      <formula>0.95</formula>
      <formula>1</formula>
    </cfRule>
    <cfRule type="cellIs" dxfId="7765" priority="7852" stopIfTrue="1" operator="between">
      <formula>0</formula>
      <formula>0.5</formula>
    </cfRule>
  </conditionalFormatting>
  <conditionalFormatting sqref="Y117">
    <cfRule type="cellIs" dxfId="7764" priority="7838" operator="between">
      <formula>0.76</formula>
      <formula>0.95</formula>
    </cfRule>
    <cfRule type="cellIs" dxfId="7763" priority="7839" operator="between">
      <formula>0.51</formula>
      <formula>0.75</formula>
    </cfRule>
    <cfRule type="cellIs" dxfId="7762" priority="7840" operator="greaterThan">
      <formula>1</formula>
    </cfRule>
    <cfRule type="cellIs" dxfId="7761" priority="7841" operator="between">
      <formula>0.95</formula>
      <formula>1</formula>
    </cfRule>
    <cfRule type="cellIs" dxfId="7760" priority="7842" stopIfTrue="1" operator="between">
      <formula>0</formula>
      <formula>0.5</formula>
    </cfRule>
  </conditionalFormatting>
  <conditionalFormatting sqref="Y121">
    <cfRule type="cellIs" dxfId="7759" priority="7833" operator="between">
      <formula>0.76</formula>
      <formula>0.95</formula>
    </cfRule>
    <cfRule type="cellIs" dxfId="7758" priority="7834" operator="between">
      <formula>0.51</formula>
      <formula>0.75</formula>
    </cfRule>
    <cfRule type="cellIs" dxfId="7757" priority="7835" operator="greaterThan">
      <formula>1</formula>
    </cfRule>
    <cfRule type="cellIs" dxfId="7756" priority="7836" operator="between">
      <formula>0.95</formula>
      <formula>1</formula>
    </cfRule>
    <cfRule type="cellIs" dxfId="7755" priority="7837" stopIfTrue="1" operator="between">
      <formula>0</formula>
      <formula>0.5</formula>
    </cfRule>
  </conditionalFormatting>
  <conditionalFormatting sqref="Y122">
    <cfRule type="cellIs" dxfId="7754" priority="7828" operator="between">
      <formula>0.76</formula>
      <formula>0.95</formula>
    </cfRule>
    <cfRule type="cellIs" dxfId="7753" priority="7829" operator="between">
      <formula>0.51</formula>
      <formula>0.75</formula>
    </cfRule>
    <cfRule type="cellIs" dxfId="7752" priority="7830" operator="greaterThan">
      <formula>1</formula>
    </cfRule>
    <cfRule type="cellIs" dxfId="7751" priority="7831" operator="between">
      <formula>0.95</formula>
      <formula>1</formula>
    </cfRule>
    <cfRule type="cellIs" dxfId="7750" priority="7832" stopIfTrue="1" operator="between">
      <formula>0</formula>
      <formula>0.5</formula>
    </cfRule>
  </conditionalFormatting>
  <conditionalFormatting sqref="Y123">
    <cfRule type="cellIs" dxfId="7749" priority="7823" operator="between">
      <formula>0.76</formula>
      <formula>0.95</formula>
    </cfRule>
    <cfRule type="cellIs" dxfId="7748" priority="7824" operator="between">
      <formula>0.51</formula>
      <formula>0.75</formula>
    </cfRule>
    <cfRule type="cellIs" dxfId="7747" priority="7825" operator="greaterThan">
      <formula>1</formula>
    </cfRule>
    <cfRule type="cellIs" dxfId="7746" priority="7826" operator="between">
      <formula>0.95</formula>
      <formula>1</formula>
    </cfRule>
    <cfRule type="cellIs" dxfId="7745" priority="7827" stopIfTrue="1" operator="between">
      <formula>0</formula>
      <formula>0.5</formula>
    </cfRule>
  </conditionalFormatting>
  <conditionalFormatting sqref="Y124">
    <cfRule type="cellIs" dxfId="7744" priority="7818" operator="between">
      <formula>0.76</formula>
      <formula>0.95</formula>
    </cfRule>
    <cfRule type="cellIs" dxfId="7743" priority="7819" operator="between">
      <formula>0.51</formula>
      <formula>0.75</formula>
    </cfRule>
    <cfRule type="cellIs" dxfId="7742" priority="7820" operator="greaterThan">
      <formula>1</formula>
    </cfRule>
    <cfRule type="cellIs" dxfId="7741" priority="7821" operator="between">
      <formula>0.95</formula>
      <formula>1</formula>
    </cfRule>
    <cfRule type="cellIs" dxfId="7740" priority="7822" stopIfTrue="1" operator="between">
      <formula>0</formula>
      <formula>0.5</formula>
    </cfRule>
  </conditionalFormatting>
  <conditionalFormatting sqref="Y125">
    <cfRule type="cellIs" dxfId="7739" priority="7813" operator="between">
      <formula>0.76</formula>
      <formula>0.95</formula>
    </cfRule>
    <cfRule type="cellIs" dxfId="7738" priority="7814" operator="between">
      <formula>0.51</formula>
      <formula>0.75</formula>
    </cfRule>
    <cfRule type="cellIs" dxfId="7737" priority="7815" operator="greaterThan">
      <formula>1</formula>
    </cfRule>
    <cfRule type="cellIs" dxfId="7736" priority="7816" operator="between">
      <formula>0.95</formula>
      <formula>1</formula>
    </cfRule>
    <cfRule type="cellIs" dxfId="7735" priority="7817" stopIfTrue="1" operator="between">
      <formula>0</formula>
      <formula>0.5</formula>
    </cfRule>
  </conditionalFormatting>
  <conditionalFormatting sqref="Y126">
    <cfRule type="cellIs" dxfId="7734" priority="7808" operator="between">
      <formula>0.76</formula>
      <formula>0.95</formula>
    </cfRule>
    <cfRule type="cellIs" dxfId="7733" priority="7809" operator="between">
      <formula>0.51</formula>
      <formula>0.75</formula>
    </cfRule>
    <cfRule type="cellIs" dxfId="7732" priority="7810" operator="greaterThan">
      <formula>1</formula>
    </cfRule>
    <cfRule type="cellIs" dxfId="7731" priority="7811" operator="between">
      <formula>0.95</formula>
      <formula>1</formula>
    </cfRule>
    <cfRule type="cellIs" dxfId="7730" priority="7812" stopIfTrue="1" operator="between">
      <formula>0</formula>
      <formula>0.5</formula>
    </cfRule>
  </conditionalFormatting>
  <conditionalFormatting sqref="Y127">
    <cfRule type="cellIs" dxfId="7729" priority="7803" operator="between">
      <formula>0.76</formula>
      <formula>0.95</formula>
    </cfRule>
    <cfRule type="cellIs" dxfId="7728" priority="7804" operator="between">
      <formula>0.51</formula>
      <formula>0.75</formula>
    </cfRule>
    <cfRule type="cellIs" dxfId="7727" priority="7805" operator="greaterThan">
      <formula>1</formula>
    </cfRule>
    <cfRule type="cellIs" dxfId="7726" priority="7806" operator="between">
      <formula>0.95</formula>
      <formula>1</formula>
    </cfRule>
    <cfRule type="cellIs" dxfId="7725" priority="7807" stopIfTrue="1" operator="between">
      <formula>0</formula>
      <formula>0.5</formula>
    </cfRule>
  </conditionalFormatting>
  <conditionalFormatting sqref="Y128">
    <cfRule type="cellIs" dxfId="7724" priority="7798" operator="between">
      <formula>0.76</formula>
      <formula>0.95</formula>
    </cfRule>
    <cfRule type="cellIs" dxfId="7723" priority="7799" operator="between">
      <formula>0.51</formula>
      <formula>0.75</formula>
    </cfRule>
    <cfRule type="cellIs" dxfId="7722" priority="7800" operator="greaterThan">
      <formula>1</formula>
    </cfRule>
    <cfRule type="cellIs" dxfId="7721" priority="7801" operator="between">
      <formula>0.95</formula>
      <formula>1</formula>
    </cfRule>
    <cfRule type="cellIs" dxfId="7720" priority="7802" stopIfTrue="1" operator="between">
      <formula>0</formula>
      <formula>0.5</formula>
    </cfRule>
  </conditionalFormatting>
  <conditionalFormatting sqref="Y129">
    <cfRule type="cellIs" dxfId="7719" priority="7793" operator="between">
      <formula>0.76</formula>
      <formula>0.95</formula>
    </cfRule>
    <cfRule type="cellIs" dxfId="7718" priority="7794" operator="between">
      <formula>0.51</formula>
      <formula>0.75</formula>
    </cfRule>
    <cfRule type="cellIs" dxfId="7717" priority="7795" operator="greaterThan">
      <formula>1</formula>
    </cfRule>
    <cfRule type="cellIs" dxfId="7716" priority="7796" operator="between">
      <formula>0.95</formula>
      <formula>1</formula>
    </cfRule>
    <cfRule type="cellIs" dxfId="7715" priority="7797" stopIfTrue="1" operator="between">
      <formula>0</formula>
      <formula>0.5</formula>
    </cfRule>
  </conditionalFormatting>
  <conditionalFormatting sqref="Y130">
    <cfRule type="cellIs" dxfId="7714" priority="7788" operator="between">
      <formula>0.76</formula>
      <formula>0.95</formula>
    </cfRule>
    <cfRule type="cellIs" dxfId="7713" priority="7789" operator="between">
      <formula>0.51</formula>
      <formula>0.75</formula>
    </cfRule>
    <cfRule type="cellIs" dxfId="7712" priority="7790" operator="greaterThan">
      <formula>1</formula>
    </cfRule>
    <cfRule type="cellIs" dxfId="7711" priority="7791" operator="between">
      <formula>0.95</formula>
      <formula>1</formula>
    </cfRule>
    <cfRule type="cellIs" dxfId="7710" priority="7792" stopIfTrue="1" operator="between">
      <formula>0</formula>
      <formula>0.5</formula>
    </cfRule>
  </conditionalFormatting>
  <conditionalFormatting sqref="Y131">
    <cfRule type="cellIs" dxfId="7709" priority="7783" operator="between">
      <formula>0.76</formula>
      <formula>0.95</formula>
    </cfRule>
    <cfRule type="cellIs" dxfId="7708" priority="7784" operator="between">
      <formula>0.51</formula>
      <formula>0.75</formula>
    </cfRule>
    <cfRule type="cellIs" dxfId="7707" priority="7785" operator="greaterThan">
      <formula>1</formula>
    </cfRule>
    <cfRule type="cellIs" dxfId="7706" priority="7786" operator="between">
      <formula>0.95</formula>
      <formula>1</formula>
    </cfRule>
    <cfRule type="cellIs" dxfId="7705" priority="7787" stopIfTrue="1" operator="between">
      <formula>0</formula>
      <formula>0.5</formula>
    </cfRule>
  </conditionalFormatting>
  <conditionalFormatting sqref="Y132">
    <cfRule type="cellIs" dxfId="7704" priority="7778" operator="between">
      <formula>0.76</formula>
      <formula>0.95</formula>
    </cfRule>
    <cfRule type="cellIs" dxfId="7703" priority="7779" operator="between">
      <formula>0.51</formula>
      <formula>0.75</formula>
    </cfRule>
    <cfRule type="cellIs" dxfId="7702" priority="7780" operator="greaterThan">
      <formula>1</formula>
    </cfRule>
    <cfRule type="cellIs" dxfId="7701" priority="7781" operator="between">
      <formula>0.95</formula>
      <formula>1</formula>
    </cfRule>
    <cfRule type="cellIs" dxfId="7700" priority="7782" stopIfTrue="1" operator="between">
      <formula>0</formula>
      <formula>0.5</formula>
    </cfRule>
  </conditionalFormatting>
  <conditionalFormatting sqref="Y133">
    <cfRule type="cellIs" dxfId="7699" priority="7773" operator="between">
      <formula>0.76</formula>
      <formula>0.95</formula>
    </cfRule>
    <cfRule type="cellIs" dxfId="7698" priority="7774" operator="between">
      <formula>0.51</formula>
      <formula>0.75</formula>
    </cfRule>
    <cfRule type="cellIs" dxfId="7697" priority="7775" operator="greaterThan">
      <formula>1</formula>
    </cfRule>
    <cfRule type="cellIs" dxfId="7696" priority="7776" operator="between">
      <formula>0.95</formula>
      <formula>1</formula>
    </cfRule>
    <cfRule type="cellIs" dxfId="7695" priority="7777" stopIfTrue="1" operator="between">
      <formula>0</formula>
      <formula>0.5</formula>
    </cfRule>
  </conditionalFormatting>
  <conditionalFormatting sqref="Y134">
    <cfRule type="cellIs" dxfId="7694" priority="7768" operator="between">
      <formula>0.76</formula>
      <formula>0.95</formula>
    </cfRule>
    <cfRule type="cellIs" dxfId="7693" priority="7769" operator="between">
      <formula>0.51</formula>
      <formula>0.75</formula>
    </cfRule>
    <cfRule type="cellIs" dxfId="7692" priority="7770" operator="greaterThan">
      <formula>1</formula>
    </cfRule>
    <cfRule type="cellIs" dxfId="7691" priority="7771" operator="between">
      <formula>0.95</formula>
      <formula>1</formula>
    </cfRule>
    <cfRule type="cellIs" dxfId="7690" priority="7772" stopIfTrue="1" operator="between">
      <formula>0</formula>
      <formula>0.5</formula>
    </cfRule>
  </conditionalFormatting>
  <conditionalFormatting sqref="Y135">
    <cfRule type="cellIs" dxfId="7689" priority="7763" operator="between">
      <formula>0.76</formula>
      <formula>0.95</formula>
    </cfRule>
    <cfRule type="cellIs" dxfId="7688" priority="7764" operator="between">
      <formula>0.51</formula>
      <formula>0.75</formula>
    </cfRule>
    <cfRule type="cellIs" dxfId="7687" priority="7765" operator="greaterThan">
      <formula>1</formula>
    </cfRule>
    <cfRule type="cellIs" dxfId="7686" priority="7766" operator="between">
      <formula>0.95</formula>
      <formula>1</formula>
    </cfRule>
    <cfRule type="cellIs" dxfId="7685" priority="7767" stopIfTrue="1" operator="between">
      <formula>0</formula>
      <formula>0.5</formula>
    </cfRule>
  </conditionalFormatting>
  <conditionalFormatting sqref="Y136">
    <cfRule type="cellIs" dxfId="7684" priority="7758" operator="between">
      <formula>0.76</formula>
      <formula>0.95</formula>
    </cfRule>
    <cfRule type="cellIs" dxfId="7683" priority="7759" operator="between">
      <formula>0.51</formula>
      <formula>0.75</formula>
    </cfRule>
    <cfRule type="cellIs" dxfId="7682" priority="7760" operator="greaterThan">
      <formula>1</formula>
    </cfRule>
    <cfRule type="cellIs" dxfId="7681" priority="7761" operator="between">
      <formula>0.95</formula>
      <formula>1</formula>
    </cfRule>
    <cfRule type="cellIs" dxfId="7680" priority="7762" stopIfTrue="1" operator="between">
      <formula>0</formula>
      <formula>0.5</formula>
    </cfRule>
  </conditionalFormatting>
  <conditionalFormatting sqref="Y137">
    <cfRule type="cellIs" dxfId="7679" priority="7753" operator="between">
      <formula>0.76</formula>
      <formula>0.95</formula>
    </cfRule>
    <cfRule type="cellIs" dxfId="7678" priority="7754" operator="between">
      <formula>0.51</formula>
      <formula>0.75</formula>
    </cfRule>
    <cfRule type="cellIs" dxfId="7677" priority="7755" operator="greaterThan">
      <formula>1</formula>
    </cfRule>
    <cfRule type="cellIs" dxfId="7676" priority="7756" operator="between">
      <formula>0.95</formula>
      <formula>1</formula>
    </cfRule>
    <cfRule type="cellIs" dxfId="7675" priority="7757" stopIfTrue="1" operator="between">
      <formula>0</formula>
      <formula>0.5</formula>
    </cfRule>
  </conditionalFormatting>
  <conditionalFormatting sqref="Y138">
    <cfRule type="cellIs" dxfId="7674" priority="7748" operator="between">
      <formula>0.76</formula>
      <formula>0.95</formula>
    </cfRule>
    <cfRule type="cellIs" dxfId="7673" priority="7749" operator="between">
      <formula>0.51</formula>
      <formula>0.75</formula>
    </cfRule>
    <cfRule type="cellIs" dxfId="7672" priority="7750" operator="greaterThan">
      <formula>1</formula>
    </cfRule>
    <cfRule type="cellIs" dxfId="7671" priority="7751" operator="between">
      <formula>0.95</formula>
      <formula>1</formula>
    </cfRule>
    <cfRule type="cellIs" dxfId="7670" priority="7752" stopIfTrue="1" operator="between">
      <formula>0</formula>
      <formula>0.5</formula>
    </cfRule>
  </conditionalFormatting>
  <conditionalFormatting sqref="Y139">
    <cfRule type="cellIs" dxfId="7669" priority="7743" operator="between">
      <formula>0.76</formula>
      <formula>0.95</formula>
    </cfRule>
    <cfRule type="cellIs" dxfId="7668" priority="7744" operator="between">
      <formula>0.51</formula>
      <formula>0.75</formula>
    </cfRule>
    <cfRule type="cellIs" dxfId="7667" priority="7745" operator="greaterThan">
      <formula>1</formula>
    </cfRule>
    <cfRule type="cellIs" dxfId="7666" priority="7746" operator="between">
      <formula>0.95</formula>
      <formula>1</formula>
    </cfRule>
    <cfRule type="cellIs" dxfId="7665" priority="7747" stopIfTrue="1" operator="between">
      <formula>0</formula>
      <formula>0.5</formula>
    </cfRule>
  </conditionalFormatting>
  <conditionalFormatting sqref="Y140">
    <cfRule type="cellIs" dxfId="7664" priority="7738" operator="between">
      <formula>0.76</formula>
      <formula>0.95</formula>
    </cfRule>
    <cfRule type="cellIs" dxfId="7663" priority="7739" operator="between">
      <formula>0.51</formula>
      <formula>0.75</formula>
    </cfRule>
    <cfRule type="cellIs" dxfId="7662" priority="7740" operator="greaterThan">
      <formula>1</formula>
    </cfRule>
    <cfRule type="cellIs" dxfId="7661" priority="7741" operator="between">
      <formula>0.95</formula>
      <formula>1</formula>
    </cfRule>
    <cfRule type="cellIs" dxfId="7660" priority="7742" stopIfTrue="1" operator="between">
      <formula>0</formula>
      <formula>0.5</formula>
    </cfRule>
  </conditionalFormatting>
  <conditionalFormatting sqref="Y142">
    <cfRule type="cellIs" dxfId="7659" priority="7733" operator="between">
      <formula>0.76</formula>
      <formula>0.95</formula>
    </cfRule>
    <cfRule type="cellIs" dxfId="7658" priority="7734" operator="between">
      <formula>0.51</formula>
      <formula>0.75</formula>
    </cfRule>
    <cfRule type="cellIs" dxfId="7657" priority="7735" operator="greaterThan">
      <formula>1</formula>
    </cfRule>
    <cfRule type="cellIs" dxfId="7656" priority="7736" operator="between">
      <formula>0.95</formula>
      <formula>1</formula>
    </cfRule>
    <cfRule type="cellIs" dxfId="7655" priority="7737" stopIfTrue="1" operator="between">
      <formula>0</formula>
      <formula>0.5</formula>
    </cfRule>
  </conditionalFormatting>
  <conditionalFormatting sqref="Y143">
    <cfRule type="cellIs" dxfId="7654" priority="7728" operator="between">
      <formula>0.76</formula>
      <formula>0.95</formula>
    </cfRule>
    <cfRule type="cellIs" dxfId="7653" priority="7729" operator="between">
      <formula>0.51</formula>
      <formula>0.75</formula>
    </cfRule>
    <cfRule type="cellIs" dxfId="7652" priority="7730" operator="greaterThan">
      <formula>1</formula>
    </cfRule>
    <cfRule type="cellIs" dxfId="7651" priority="7731" operator="between">
      <formula>0.95</formula>
      <formula>1</formula>
    </cfRule>
    <cfRule type="cellIs" dxfId="7650" priority="7732" stopIfTrue="1" operator="between">
      <formula>0</formula>
      <formula>0.5</formula>
    </cfRule>
  </conditionalFormatting>
  <conditionalFormatting sqref="Y144">
    <cfRule type="cellIs" dxfId="7649" priority="7723" operator="between">
      <formula>0.76</formula>
      <formula>0.95</formula>
    </cfRule>
    <cfRule type="cellIs" dxfId="7648" priority="7724" operator="between">
      <formula>0.51</formula>
      <formula>0.75</formula>
    </cfRule>
    <cfRule type="cellIs" dxfId="7647" priority="7725" operator="greaterThan">
      <formula>1</formula>
    </cfRule>
    <cfRule type="cellIs" dxfId="7646" priority="7726" operator="between">
      <formula>0.95</formula>
      <formula>1</formula>
    </cfRule>
    <cfRule type="cellIs" dxfId="7645" priority="7727" stopIfTrue="1" operator="between">
      <formula>0</formula>
      <formula>0.5</formula>
    </cfRule>
  </conditionalFormatting>
  <conditionalFormatting sqref="Y146">
    <cfRule type="cellIs" dxfId="7644" priority="7718" operator="between">
      <formula>0.76</formula>
      <formula>0.95</formula>
    </cfRule>
    <cfRule type="cellIs" dxfId="7643" priority="7719" operator="between">
      <formula>0.51</formula>
      <formula>0.75</formula>
    </cfRule>
    <cfRule type="cellIs" dxfId="7642" priority="7720" operator="greaterThan">
      <formula>1</formula>
    </cfRule>
    <cfRule type="cellIs" dxfId="7641" priority="7721" operator="between">
      <formula>0.95</formula>
      <formula>1</formula>
    </cfRule>
    <cfRule type="cellIs" dxfId="7640" priority="7722" stopIfTrue="1" operator="between">
      <formula>0</formula>
      <formula>0.5</formula>
    </cfRule>
  </conditionalFormatting>
  <conditionalFormatting sqref="Y145">
    <cfRule type="cellIs" dxfId="7639" priority="7713" operator="between">
      <formula>0.76</formula>
      <formula>0.95</formula>
    </cfRule>
    <cfRule type="cellIs" dxfId="7638" priority="7714" operator="between">
      <formula>0.51</formula>
      <formula>0.75</formula>
    </cfRule>
    <cfRule type="cellIs" dxfId="7637" priority="7715" operator="greaterThan">
      <formula>1</formula>
    </cfRule>
    <cfRule type="cellIs" dxfId="7636" priority="7716" operator="between">
      <formula>0.95</formula>
      <formula>1</formula>
    </cfRule>
    <cfRule type="cellIs" dxfId="7635" priority="7717" stopIfTrue="1" operator="between">
      <formula>0</formula>
      <formula>0.5</formula>
    </cfRule>
  </conditionalFormatting>
  <conditionalFormatting sqref="Y147">
    <cfRule type="cellIs" dxfId="7634" priority="7708" operator="between">
      <formula>0.76</formula>
      <formula>0.95</formula>
    </cfRule>
    <cfRule type="cellIs" dxfId="7633" priority="7709" operator="between">
      <formula>0.51</formula>
      <formula>0.75</formula>
    </cfRule>
    <cfRule type="cellIs" dxfId="7632" priority="7710" operator="greaterThan">
      <formula>1</formula>
    </cfRule>
    <cfRule type="cellIs" dxfId="7631" priority="7711" operator="between">
      <formula>0.95</formula>
      <formula>1</formula>
    </cfRule>
    <cfRule type="cellIs" dxfId="7630" priority="7712" stopIfTrue="1" operator="between">
      <formula>0</formula>
      <formula>0.5</formula>
    </cfRule>
  </conditionalFormatting>
  <conditionalFormatting sqref="Y148">
    <cfRule type="cellIs" dxfId="7629" priority="7703" operator="between">
      <formula>0.76</formula>
      <formula>0.95</formula>
    </cfRule>
    <cfRule type="cellIs" dxfId="7628" priority="7704" operator="between">
      <formula>0.51</formula>
      <formula>0.75</formula>
    </cfRule>
    <cfRule type="cellIs" dxfId="7627" priority="7705" operator="greaterThan">
      <formula>1</formula>
    </cfRule>
    <cfRule type="cellIs" dxfId="7626" priority="7706" operator="between">
      <formula>0.95</formula>
      <formula>1</formula>
    </cfRule>
    <cfRule type="cellIs" dxfId="7625" priority="7707" stopIfTrue="1" operator="between">
      <formula>0</formula>
      <formula>0.5</formula>
    </cfRule>
  </conditionalFormatting>
  <conditionalFormatting sqref="Y149">
    <cfRule type="cellIs" dxfId="7624" priority="7698" operator="between">
      <formula>0.76</formula>
      <formula>0.95</formula>
    </cfRule>
    <cfRule type="cellIs" dxfId="7623" priority="7699" operator="between">
      <formula>0.51</formula>
      <formula>0.75</formula>
    </cfRule>
    <cfRule type="cellIs" dxfId="7622" priority="7700" operator="greaterThan">
      <formula>1</formula>
    </cfRule>
    <cfRule type="cellIs" dxfId="7621" priority="7701" operator="between">
      <formula>0.95</formula>
      <formula>1</formula>
    </cfRule>
    <cfRule type="cellIs" dxfId="7620" priority="7702" stopIfTrue="1" operator="between">
      <formula>0</formula>
      <formula>0.5</formula>
    </cfRule>
  </conditionalFormatting>
  <conditionalFormatting sqref="Y150">
    <cfRule type="cellIs" dxfId="7619" priority="7693" operator="between">
      <formula>0.76</formula>
      <formula>0.95</formula>
    </cfRule>
    <cfRule type="cellIs" dxfId="7618" priority="7694" operator="between">
      <formula>0.51</formula>
      <formula>0.75</formula>
    </cfRule>
    <cfRule type="cellIs" dxfId="7617" priority="7695" operator="greaterThan">
      <formula>1</formula>
    </cfRule>
    <cfRule type="cellIs" dxfId="7616" priority="7696" operator="between">
      <formula>0.95</formula>
      <formula>1</formula>
    </cfRule>
    <cfRule type="cellIs" dxfId="7615" priority="7697" stopIfTrue="1" operator="between">
      <formula>0</formula>
      <formula>0.5</formula>
    </cfRule>
  </conditionalFormatting>
  <conditionalFormatting sqref="Y151">
    <cfRule type="cellIs" dxfId="7614" priority="7688" operator="between">
      <formula>0.76</formula>
      <formula>0.95</formula>
    </cfRule>
    <cfRule type="cellIs" dxfId="7613" priority="7689" operator="between">
      <formula>0.51</formula>
      <formula>0.75</formula>
    </cfRule>
    <cfRule type="cellIs" dxfId="7612" priority="7690" operator="greaterThan">
      <formula>1</formula>
    </cfRule>
    <cfRule type="cellIs" dxfId="7611" priority="7691" operator="between">
      <formula>0.95</formula>
      <formula>1</formula>
    </cfRule>
    <cfRule type="cellIs" dxfId="7610" priority="7692" stopIfTrue="1" operator="between">
      <formula>0</formula>
      <formula>0.5</formula>
    </cfRule>
  </conditionalFormatting>
  <conditionalFormatting sqref="Y152">
    <cfRule type="cellIs" dxfId="7609" priority="7683" operator="between">
      <formula>0.76</formula>
      <formula>0.95</formula>
    </cfRule>
    <cfRule type="cellIs" dxfId="7608" priority="7684" operator="between">
      <formula>0.51</formula>
      <formula>0.75</formula>
    </cfRule>
    <cfRule type="cellIs" dxfId="7607" priority="7685" operator="greaterThan">
      <formula>1</formula>
    </cfRule>
    <cfRule type="cellIs" dxfId="7606" priority="7686" operator="between">
      <formula>0.95</formula>
      <formula>1</formula>
    </cfRule>
    <cfRule type="cellIs" dxfId="7605" priority="7687" stopIfTrue="1" operator="between">
      <formula>0</formula>
      <formula>0.5</formula>
    </cfRule>
  </conditionalFormatting>
  <conditionalFormatting sqref="Y153">
    <cfRule type="cellIs" dxfId="7604" priority="7678" operator="between">
      <formula>0.76</formula>
      <formula>0.95</formula>
    </cfRule>
    <cfRule type="cellIs" dxfId="7603" priority="7679" operator="between">
      <formula>0.51</formula>
      <formula>0.75</formula>
    </cfRule>
    <cfRule type="cellIs" dxfId="7602" priority="7680" operator="greaterThan">
      <formula>1</formula>
    </cfRule>
    <cfRule type="cellIs" dxfId="7601" priority="7681" operator="between">
      <formula>0.95</formula>
      <formula>1</formula>
    </cfRule>
    <cfRule type="cellIs" dxfId="7600" priority="7682" stopIfTrue="1" operator="between">
      <formula>0</formula>
      <formula>0.5</formula>
    </cfRule>
  </conditionalFormatting>
  <conditionalFormatting sqref="Y154">
    <cfRule type="cellIs" dxfId="7599" priority="7673" operator="between">
      <formula>0.76</formula>
      <formula>0.95</formula>
    </cfRule>
    <cfRule type="cellIs" dxfId="7598" priority="7674" operator="between">
      <formula>0.51</formula>
      <formula>0.75</formula>
    </cfRule>
    <cfRule type="cellIs" dxfId="7597" priority="7675" operator="greaterThan">
      <formula>1</formula>
    </cfRule>
    <cfRule type="cellIs" dxfId="7596" priority="7676" operator="between">
      <formula>0.95</formula>
      <formula>1</formula>
    </cfRule>
    <cfRule type="cellIs" dxfId="7595" priority="7677" stopIfTrue="1" operator="between">
      <formula>0</formula>
      <formula>0.5</formula>
    </cfRule>
  </conditionalFormatting>
  <conditionalFormatting sqref="Y155">
    <cfRule type="cellIs" dxfId="7594" priority="7668" operator="between">
      <formula>0.76</formula>
      <formula>0.95</formula>
    </cfRule>
    <cfRule type="cellIs" dxfId="7593" priority="7669" operator="between">
      <formula>0.51</formula>
      <formula>0.75</formula>
    </cfRule>
    <cfRule type="cellIs" dxfId="7592" priority="7670" operator="greaterThan">
      <formula>1</formula>
    </cfRule>
    <cfRule type="cellIs" dxfId="7591" priority="7671" operator="between">
      <formula>0.95</formula>
      <formula>1</formula>
    </cfRule>
    <cfRule type="cellIs" dxfId="7590" priority="7672" stopIfTrue="1" operator="between">
      <formula>0</formula>
      <formula>0.5</formula>
    </cfRule>
  </conditionalFormatting>
  <conditionalFormatting sqref="Y156">
    <cfRule type="cellIs" dxfId="7589" priority="7663" operator="between">
      <formula>0.76</formula>
      <formula>0.95</formula>
    </cfRule>
    <cfRule type="cellIs" dxfId="7588" priority="7664" operator="between">
      <formula>0.51</formula>
      <formula>0.75</formula>
    </cfRule>
    <cfRule type="cellIs" dxfId="7587" priority="7665" operator="greaterThan">
      <formula>1</formula>
    </cfRule>
    <cfRule type="cellIs" dxfId="7586" priority="7666" operator="between">
      <formula>0.95</formula>
      <formula>1</formula>
    </cfRule>
    <cfRule type="cellIs" dxfId="7585" priority="7667" stopIfTrue="1" operator="between">
      <formula>0</formula>
      <formula>0.5</formula>
    </cfRule>
  </conditionalFormatting>
  <conditionalFormatting sqref="Y157">
    <cfRule type="cellIs" dxfId="7584" priority="7658" operator="between">
      <formula>0.76</formula>
      <formula>0.95</formula>
    </cfRule>
    <cfRule type="cellIs" dxfId="7583" priority="7659" operator="between">
      <formula>0.51</formula>
      <formula>0.75</formula>
    </cfRule>
    <cfRule type="cellIs" dxfId="7582" priority="7660" operator="greaterThan">
      <formula>1</formula>
    </cfRule>
    <cfRule type="cellIs" dxfId="7581" priority="7661" operator="between">
      <formula>0.95</formula>
      <formula>1</formula>
    </cfRule>
    <cfRule type="cellIs" dxfId="7580" priority="7662" stopIfTrue="1" operator="between">
      <formula>0</formula>
      <formula>0.5</formula>
    </cfRule>
  </conditionalFormatting>
  <conditionalFormatting sqref="Y158">
    <cfRule type="cellIs" dxfId="7579" priority="7653" operator="between">
      <formula>0.76</formula>
      <formula>0.95</formula>
    </cfRule>
    <cfRule type="cellIs" dxfId="7578" priority="7654" operator="between">
      <formula>0.51</formula>
      <formula>0.75</formula>
    </cfRule>
    <cfRule type="cellIs" dxfId="7577" priority="7655" operator="greaterThan">
      <formula>1</formula>
    </cfRule>
    <cfRule type="cellIs" dxfId="7576" priority="7656" operator="between">
      <formula>0.95</formula>
      <formula>1</formula>
    </cfRule>
    <cfRule type="cellIs" dxfId="7575" priority="7657" stopIfTrue="1" operator="between">
      <formula>0</formula>
      <formula>0.5</formula>
    </cfRule>
  </conditionalFormatting>
  <conditionalFormatting sqref="Y160">
    <cfRule type="cellIs" dxfId="7574" priority="7643" operator="between">
      <formula>0.76</formula>
      <formula>0.95</formula>
    </cfRule>
    <cfRule type="cellIs" dxfId="7573" priority="7644" operator="between">
      <formula>0.51</formula>
      <formula>0.75</formula>
    </cfRule>
    <cfRule type="cellIs" dxfId="7572" priority="7645" operator="greaterThan">
      <formula>1</formula>
    </cfRule>
    <cfRule type="cellIs" dxfId="7571" priority="7646" operator="between">
      <formula>0.95</formula>
      <formula>1</formula>
    </cfRule>
    <cfRule type="cellIs" dxfId="7570" priority="7647" stopIfTrue="1" operator="between">
      <formula>0</formula>
      <formula>0.5</formula>
    </cfRule>
  </conditionalFormatting>
  <conditionalFormatting sqref="Y161">
    <cfRule type="cellIs" dxfId="7569" priority="7638" operator="between">
      <formula>0.76</formula>
      <formula>0.95</formula>
    </cfRule>
    <cfRule type="cellIs" dxfId="7568" priority="7639" operator="between">
      <formula>0.51</formula>
      <formula>0.75</formula>
    </cfRule>
    <cfRule type="cellIs" dxfId="7567" priority="7640" operator="greaterThan">
      <formula>1</formula>
    </cfRule>
    <cfRule type="cellIs" dxfId="7566" priority="7641" operator="between">
      <formula>0.95</formula>
      <formula>1</formula>
    </cfRule>
    <cfRule type="cellIs" dxfId="7565" priority="7642" stopIfTrue="1" operator="between">
      <formula>0</formula>
      <formula>0.5</formula>
    </cfRule>
  </conditionalFormatting>
  <conditionalFormatting sqref="Y162">
    <cfRule type="cellIs" dxfId="7564" priority="7633" operator="between">
      <formula>0.76</formula>
      <formula>0.95</formula>
    </cfRule>
    <cfRule type="cellIs" dxfId="7563" priority="7634" operator="between">
      <formula>0.51</formula>
      <formula>0.75</formula>
    </cfRule>
    <cfRule type="cellIs" dxfId="7562" priority="7635" operator="greaterThan">
      <formula>1</formula>
    </cfRule>
    <cfRule type="cellIs" dxfId="7561" priority="7636" operator="between">
      <formula>0.95</formula>
      <formula>1</formula>
    </cfRule>
    <cfRule type="cellIs" dxfId="7560" priority="7637" stopIfTrue="1" operator="between">
      <formula>0</formula>
      <formula>0.5</formula>
    </cfRule>
  </conditionalFormatting>
  <conditionalFormatting sqref="Y163">
    <cfRule type="cellIs" dxfId="7559" priority="7628" operator="between">
      <formula>0.76</formula>
      <formula>0.95</formula>
    </cfRule>
    <cfRule type="cellIs" dxfId="7558" priority="7629" operator="between">
      <formula>0.51</formula>
      <formula>0.75</formula>
    </cfRule>
    <cfRule type="cellIs" dxfId="7557" priority="7630" operator="greaterThan">
      <formula>1</formula>
    </cfRule>
    <cfRule type="cellIs" dxfId="7556" priority="7631" operator="between">
      <formula>0.95</formula>
      <formula>1</formula>
    </cfRule>
    <cfRule type="cellIs" dxfId="7555" priority="7632" stopIfTrue="1" operator="between">
      <formula>0</formula>
      <formula>0.5</formula>
    </cfRule>
  </conditionalFormatting>
  <conditionalFormatting sqref="Y164">
    <cfRule type="cellIs" dxfId="7554" priority="7623" operator="between">
      <formula>0.76</formula>
      <formula>0.95</formula>
    </cfRule>
    <cfRule type="cellIs" dxfId="7553" priority="7624" operator="between">
      <formula>0.51</formula>
      <formula>0.75</formula>
    </cfRule>
    <cfRule type="cellIs" dxfId="7552" priority="7625" operator="greaterThan">
      <formula>1</formula>
    </cfRule>
    <cfRule type="cellIs" dxfId="7551" priority="7626" operator="between">
      <formula>0.95</formula>
      <formula>1</formula>
    </cfRule>
    <cfRule type="cellIs" dxfId="7550" priority="7627" stopIfTrue="1" operator="between">
      <formula>0</formula>
      <formula>0.5</formula>
    </cfRule>
  </conditionalFormatting>
  <conditionalFormatting sqref="Y165">
    <cfRule type="cellIs" dxfId="7549" priority="7618" operator="between">
      <formula>0.76</formula>
      <formula>0.95</formula>
    </cfRule>
    <cfRule type="cellIs" dxfId="7548" priority="7619" operator="between">
      <formula>0.51</formula>
      <formula>0.75</formula>
    </cfRule>
    <cfRule type="cellIs" dxfId="7547" priority="7620" operator="greaterThan">
      <formula>1</formula>
    </cfRule>
    <cfRule type="cellIs" dxfId="7546" priority="7621" operator="between">
      <formula>0.95</formula>
      <formula>1</formula>
    </cfRule>
    <cfRule type="cellIs" dxfId="7545" priority="7622" stopIfTrue="1" operator="between">
      <formula>0</formula>
      <formula>0.5</formula>
    </cfRule>
  </conditionalFormatting>
  <conditionalFormatting sqref="Y166">
    <cfRule type="cellIs" dxfId="7544" priority="7613" operator="between">
      <formula>0.76</formula>
      <formula>0.95</formula>
    </cfRule>
    <cfRule type="cellIs" dxfId="7543" priority="7614" operator="between">
      <formula>0.51</formula>
      <formula>0.75</formula>
    </cfRule>
    <cfRule type="cellIs" dxfId="7542" priority="7615" operator="greaterThan">
      <formula>1</formula>
    </cfRule>
    <cfRule type="cellIs" dxfId="7541" priority="7616" operator="between">
      <formula>0.95</formula>
      <formula>1</formula>
    </cfRule>
    <cfRule type="cellIs" dxfId="7540" priority="7617" stopIfTrue="1" operator="between">
      <formula>0</formula>
      <formula>0.5</formula>
    </cfRule>
  </conditionalFormatting>
  <conditionalFormatting sqref="Y168">
    <cfRule type="cellIs" dxfId="7539" priority="7608" operator="between">
      <formula>0.76</formula>
      <formula>0.95</formula>
    </cfRule>
    <cfRule type="cellIs" dxfId="7538" priority="7609" operator="between">
      <formula>0.51</formula>
      <formula>0.75</formula>
    </cfRule>
    <cfRule type="cellIs" dxfId="7537" priority="7610" operator="greaterThan">
      <formula>1</formula>
    </cfRule>
    <cfRule type="cellIs" dxfId="7536" priority="7611" operator="between">
      <formula>0.95</formula>
      <formula>1</formula>
    </cfRule>
    <cfRule type="cellIs" dxfId="7535" priority="7612" stopIfTrue="1" operator="between">
      <formula>0</formula>
      <formula>0.5</formula>
    </cfRule>
  </conditionalFormatting>
  <conditionalFormatting sqref="Y167">
    <cfRule type="cellIs" dxfId="7534" priority="7603" operator="between">
      <formula>0.76</formula>
      <formula>0.95</formula>
    </cfRule>
    <cfRule type="cellIs" dxfId="7533" priority="7604" operator="between">
      <formula>0.51</formula>
      <formula>0.75</formula>
    </cfRule>
    <cfRule type="cellIs" dxfId="7532" priority="7605" operator="greaterThan">
      <formula>1</formula>
    </cfRule>
    <cfRule type="cellIs" dxfId="7531" priority="7606" operator="between">
      <formula>0.95</formula>
      <formula>1</formula>
    </cfRule>
    <cfRule type="cellIs" dxfId="7530" priority="7607" stopIfTrue="1" operator="between">
      <formula>0</formula>
      <formula>0.5</formula>
    </cfRule>
  </conditionalFormatting>
  <conditionalFormatting sqref="Y169">
    <cfRule type="cellIs" dxfId="7529" priority="7598" operator="between">
      <formula>0.76</formula>
      <formula>0.95</formula>
    </cfRule>
    <cfRule type="cellIs" dxfId="7528" priority="7599" operator="between">
      <formula>0.51</formula>
      <formula>0.75</formula>
    </cfRule>
    <cfRule type="cellIs" dxfId="7527" priority="7600" operator="greaterThan">
      <formula>1</formula>
    </cfRule>
    <cfRule type="cellIs" dxfId="7526" priority="7601" operator="between">
      <formula>0.95</formula>
      <formula>1</formula>
    </cfRule>
    <cfRule type="cellIs" dxfId="7525" priority="7602" stopIfTrue="1" operator="between">
      <formula>0</formula>
      <formula>0.5</formula>
    </cfRule>
  </conditionalFormatting>
  <conditionalFormatting sqref="Y170">
    <cfRule type="cellIs" dxfId="7524" priority="7593" operator="between">
      <formula>0.76</formula>
      <formula>0.95</formula>
    </cfRule>
    <cfRule type="cellIs" dxfId="7523" priority="7594" operator="between">
      <formula>0.51</formula>
      <formula>0.75</formula>
    </cfRule>
    <cfRule type="cellIs" dxfId="7522" priority="7595" operator="greaterThan">
      <formula>1</formula>
    </cfRule>
    <cfRule type="cellIs" dxfId="7521" priority="7596" operator="between">
      <formula>0.95</formula>
      <formula>1</formula>
    </cfRule>
    <cfRule type="cellIs" dxfId="7520" priority="7597" stopIfTrue="1" operator="between">
      <formula>0</formula>
      <formula>0.5</formula>
    </cfRule>
  </conditionalFormatting>
  <conditionalFormatting sqref="Y171">
    <cfRule type="cellIs" dxfId="7519" priority="7588" operator="between">
      <formula>0.76</formula>
      <formula>0.95</formula>
    </cfRule>
    <cfRule type="cellIs" dxfId="7518" priority="7589" operator="between">
      <formula>0.51</formula>
      <formula>0.75</formula>
    </cfRule>
    <cfRule type="cellIs" dxfId="7517" priority="7590" operator="greaterThan">
      <formula>1</formula>
    </cfRule>
    <cfRule type="cellIs" dxfId="7516" priority="7591" operator="between">
      <formula>0.95</formula>
      <formula>1</formula>
    </cfRule>
    <cfRule type="cellIs" dxfId="7515" priority="7592" stopIfTrue="1" operator="between">
      <formula>0</formula>
      <formula>0.5</formula>
    </cfRule>
  </conditionalFormatting>
  <conditionalFormatting sqref="Y172">
    <cfRule type="cellIs" dxfId="7514" priority="7583" operator="between">
      <formula>0.76</formula>
      <formula>0.95</formula>
    </cfRule>
    <cfRule type="cellIs" dxfId="7513" priority="7584" operator="between">
      <formula>0.51</formula>
      <formula>0.75</formula>
    </cfRule>
    <cfRule type="cellIs" dxfId="7512" priority="7585" operator="greaterThan">
      <formula>1</formula>
    </cfRule>
    <cfRule type="cellIs" dxfId="7511" priority="7586" operator="between">
      <formula>0.95</formula>
      <formula>1</formula>
    </cfRule>
    <cfRule type="cellIs" dxfId="7510" priority="7587" stopIfTrue="1" operator="between">
      <formula>0</formula>
      <formula>0.5</formula>
    </cfRule>
  </conditionalFormatting>
  <conditionalFormatting sqref="Y173">
    <cfRule type="cellIs" dxfId="7509" priority="7578" operator="between">
      <formula>0.76</formula>
      <formula>0.95</formula>
    </cfRule>
    <cfRule type="cellIs" dxfId="7508" priority="7579" operator="between">
      <formula>0.51</formula>
      <formula>0.75</formula>
    </cfRule>
    <cfRule type="cellIs" dxfId="7507" priority="7580" operator="greaterThan">
      <formula>1</formula>
    </cfRule>
    <cfRule type="cellIs" dxfId="7506" priority="7581" operator="between">
      <formula>0.95</formula>
      <formula>1</formula>
    </cfRule>
    <cfRule type="cellIs" dxfId="7505" priority="7582" stopIfTrue="1" operator="between">
      <formula>0</formula>
      <formula>0.5</formula>
    </cfRule>
  </conditionalFormatting>
  <conditionalFormatting sqref="Y174">
    <cfRule type="cellIs" dxfId="7504" priority="7573" operator="between">
      <formula>0.76</formula>
      <formula>0.95</formula>
    </cfRule>
    <cfRule type="cellIs" dxfId="7503" priority="7574" operator="between">
      <formula>0.51</formula>
      <formula>0.75</formula>
    </cfRule>
    <cfRule type="cellIs" dxfId="7502" priority="7575" operator="greaterThan">
      <formula>1</formula>
    </cfRule>
    <cfRule type="cellIs" dxfId="7501" priority="7576" operator="between">
      <formula>0.95</formula>
      <formula>1</formula>
    </cfRule>
    <cfRule type="cellIs" dxfId="7500" priority="7577" stopIfTrue="1" operator="between">
      <formula>0</formula>
      <formula>0.5</formula>
    </cfRule>
  </conditionalFormatting>
  <conditionalFormatting sqref="Y175">
    <cfRule type="cellIs" dxfId="7499" priority="7568" operator="between">
      <formula>0.76</formula>
      <formula>0.95</formula>
    </cfRule>
    <cfRule type="cellIs" dxfId="7498" priority="7569" operator="between">
      <formula>0.51</formula>
      <formula>0.75</formula>
    </cfRule>
    <cfRule type="cellIs" dxfId="7497" priority="7570" operator="greaterThan">
      <formula>1</formula>
    </cfRule>
    <cfRule type="cellIs" dxfId="7496" priority="7571" operator="between">
      <formula>0.95</formula>
      <formula>1</formula>
    </cfRule>
    <cfRule type="cellIs" dxfId="7495" priority="7572" stopIfTrue="1" operator="between">
      <formula>0</formula>
      <formula>0.5</formula>
    </cfRule>
  </conditionalFormatting>
  <conditionalFormatting sqref="Y176">
    <cfRule type="cellIs" dxfId="7494" priority="7563" operator="between">
      <formula>0.76</formula>
      <formula>0.95</formula>
    </cfRule>
    <cfRule type="cellIs" dxfId="7493" priority="7564" operator="between">
      <formula>0.51</formula>
      <formula>0.75</formula>
    </cfRule>
    <cfRule type="cellIs" dxfId="7492" priority="7565" operator="greaterThan">
      <formula>1</formula>
    </cfRule>
    <cfRule type="cellIs" dxfId="7491" priority="7566" operator="between">
      <formula>0.95</formula>
      <formula>1</formula>
    </cfRule>
    <cfRule type="cellIs" dxfId="7490" priority="7567" stopIfTrue="1" operator="between">
      <formula>0</formula>
      <formula>0.5</formula>
    </cfRule>
  </conditionalFormatting>
  <conditionalFormatting sqref="Y177">
    <cfRule type="cellIs" dxfId="7489" priority="7558" operator="between">
      <formula>0.76</formula>
      <formula>0.95</formula>
    </cfRule>
    <cfRule type="cellIs" dxfId="7488" priority="7559" operator="between">
      <formula>0.51</formula>
      <formula>0.75</formula>
    </cfRule>
    <cfRule type="cellIs" dxfId="7487" priority="7560" operator="greaterThan">
      <formula>1</formula>
    </cfRule>
    <cfRule type="cellIs" dxfId="7486" priority="7561" operator="between">
      <formula>0.95</formula>
      <formula>1</formula>
    </cfRule>
    <cfRule type="cellIs" dxfId="7485" priority="7562" stopIfTrue="1" operator="between">
      <formula>0</formula>
      <formula>0.5</formula>
    </cfRule>
  </conditionalFormatting>
  <conditionalFormatting sqref="Y211">
    <cfRule type="cellIs" dxfId="7484" priority="7393" operator="between">
      <formula>0.76</formula>
      <formula>0.95</formula>
    </cfRule>
    <cfRule type="cellIs" dxfId="7483" priority="7394" operator="between">
      <formula>0.51</formula>
      <formula>0.75</formula>
    </cfRule>
    <cfRule type="cellIs" dxfId="7482" priority="7395" operator="greaterThan">
      <formula>1</formula>
    </cfRule>
    <cfRule type="cellIs" dxfId="7481" priority="7396" operator="between">
      <formula>0.95</formula>
      <formula>1</formula>
    </cfRule>
    <cfRule type="cellIs" dxfId="7480" priority="7397" stopIfTrue="1" operator="between">
      <formula>0</formula>
      <formula>0.5</formula>
    </cfRule>
  </conditionalFormatting>
  <conditionalFormatting sqref="Y179">
    <cfRule type="cellIs" dxfId="7479" priority="7548" operator="between">
      <formula>0.76</formula>
      <formula>0.95</formula>
    </cfRule>
    <cfRule type="cellIs" dxfId="7478" priority="7549" operator="between">
      <formula>0.51</formula>
      <formula>0.75</formula>
    </cfRule>
    <cfRule type="cellIs" dxfId="7477" priority="7550" operator="greaterThan">
      <formula>1</formula>
    </cfRule>
    <cfRule type="cellIs" dxfId="7476" priority="7551" operator="between">
      <formula>0.95</formula>
      <formula>1</formula>
    </cfRule>
    <cfRule type="cellIs" dxfId="7475" priority="7552" stopIfTrue="1" operator="between">
      <formula>0</formula>
      <formula>0.5</formula>
    </cfRule>
  </conditionalFormatting>
  <conditionalFormatting sqref="Y180">
    <cfRule type="cellIs" dxfId="7474" priority="7543" operator="between">
      <formula>0.76</formula>
      <formula>0.95</formula>
    </cfRule>
    <cfRule type="cellIs" dxfId="7473" priority="7544" operator="between">
      <formula>0.51</formula>
      <formula>0.75</formula>
    </cfRule>
    <cfRule type="cellIs" dxfId="7472" priority="7545" operator="greaterThan">
      <formula>1</formula>
    </cfRule>
    <cfRule type="cellIs" dxfId="7471" priority="7546" operator="between">
      <formula>0.95</formula>
      <formula>1</formula>
    </cfRule>
    <cfRule type="cellIs" dxfId="7470" priority="7547" stopIfTrue="1" operator="between">
      <formula>0</formula>
      <formula>0.5</formula>
    </cfRule>
  </conditionalFormatting>
  <conditionalFormatting sqref="Y181">
    <cfRule type="cellIs" dxfId="7469" priority="7538" operator="between">
      <formula>0.76</formula>
      <formula>0.95</formula>
    </cfRule>
    <cfRule type="cellIs" dxfId="7468" priority="7539" operator="between">
      <formula>0.51</formula>
      <formula>0.75</formula>
    </cfRule>
    <cfRule type="cellIs" dxfId="7467" priority="7540" operator="greaterThan">
      <formula>1</formula>
    </cfRule>
    <cfRule type="cellIs" dxfId="7466" priority="7541" operator="between">
      <formula>0.95</formula>
      <formula>1</formula>
    </cfRule>
    <cfRule type="cellIs" dxfId="7465" priority="7542" stopIfTrue="1" operator="between">
      <formula>0</formula>
      <formula>0.5</formula>
    </cfRule>
  </conditionalFormatting>
  <conditionalFormatting sqref="Y182">
    <cfRule type="cellIs" dxfId="7464" priority="7533" operator="between">
      <formula>0.76</formula>
      <formula>0.95</formula>
    </cfRule>
    <cfRule type="cellIs" dxfId="7463" priority="7534" operator="between">
      <formula>0.51</formula>
      <formula>0.75</formula>
    </cfRule>
    <cfRule type="cellIs" dxfId="7462" priority="7535" operator="greaterThan">
      <formula>1</formula>
    </cfRule>
    <cfRule type="cellIs" dxfId="7461" priority="7536" operator="between">
      <formula>0.95</formula>
      <formula>1</formula>
    </cfRule>
    <cfRule type="cellIs" dxfId="7460" priority="7537" stopIfTrue="1" operator="between">
      <formula>0</formula>
      <formula>0.5</formula>
    </cfRule>
  </conditionalFormatting>
  <conditionalFormatting sqref="Y183">
    <cfRule type="cellIs" dxfId="7459" priority="7528" operator="between">
      <formula>0.76</formula>
      <formula>0.95</formula>
    </cfRule>
    <cfRule type="cellIs" dxfId="7458" priority="7529" operator="between">
      <formula>0.51</formula>
      <formula>0.75</formula>
    </cfRule>
    <cfRule type="cellIs" dxfId="7457" priority="7530" operator="greaterThan">
      <formula>1</formula>
    </cfRule>
    <cfRule type="cellIs" dxfId="7456" priority="7531" operator="between">
      <formula>0.95</formula>
      <formula>1</formula>
    </cfRule>
    <cfRule type="cellIs" dxfId="7455" priority="7532" stopIfTrue="1" operator="between">
      <formula>0</formula>
      <formula>0.5</formula>
    </cfRule>
  </conditionalFormatting>
  <conditionalFormatting sqref="Y184">
    <cfRule type="cellIs" dxfId="7454" priority="7523" operator="between">
      <formula>0.76</formula>
      <formula>0.95</formula>
    </cfRule>
    <cfRule type="cellIs" dxfId="7453" priority="7524" operator="between">
      <formula>0.51</formula>
      <formula>0.75</formula>
    </cfRule>
    <cfRule type="cellIs" dxfId="7452" priority="7525" operator="greaterThan">
      <formula>1</formula>
    </cfRule>
    <cfRule type="cellIs" dxfId="7451" priority="7526" operator="between">
      <formula>0.95</formula>
      <formula>1</formula>
    </cfRule>
    <cfRule type="cellIs" dxfId="7450" priority="7527" stopIfTrue="1" operator="between">
      <formula>0</formula>
      <formula>0.5</formula>
    </cfRule>
  </conditionalFormatting>
  <conditionalFormatting sqref="Y185">
    <cfRule type="cellIs" dxfId="7449" priority="7518" operator="between">
      <formula>0.76</formula>
      <formula>0.95</formula>
    </cfRule>
    <cfRule type="cellIs" dxfId="7448" priority="7519" operator="between">
      <formula>0.51</formula>
      <formula>0.75</formula>
    </cfRule>
    <cfRule type="cellIs" dxfId="7447" priority="7520" operator="greaterThan">
      <formula>1</formula>
    </cfRule>
    <cfRule type="cellIs" dxfId="7446" priority="7521" operator="between">
      <formula>0.95</formula>
      <formula>1</formula>
    </cfRule>
    <cfRule type="cellIs" dxfId="7445" priority="7522" stopIfTrue="1" operator="between">
      <formula>0</formula>
      <formula>0.5</formula>
    </cfRule>
  </conditionalFormatting>
  <conditionalFormatting sqref="Y186">
    <cfRule type="cellIs" dxfId="7444" priority="7513" operator="between">
      <formula>0.76</formula>
      <formula>0.95</formula>
    </cfRule>
    <cfRule type="cellIs" dxfId="7443" priority="7514" operator="between">
      <formula>0.51</formula>
      <formula>0.75</formula>
    </cfRule>
    <cfRule type="cellIs" dxfId="7442" priority="7515" operator="greaterThan">
      <formula>1</formula>
    </cfRule>
    <cfRule type="cellIs" dxfId="7441" priority="7516" operator="between">
      <formula>0.95</formula>
      <formula>1</formula>
    </cfRule>
    <cfRule type="cellIs" dxfId="7440" priority="7517" stopIfTrue="1" operator="between">
      <formula>0</formula>
      <formula>0.5</formula>
    </cfRule>
  </conditionalFormatting>
  <conditionalFormatting sqref="Y187">
    <cfRule type="cellIs" dxfId="7439" priority="7508" operator="between">
      <formula>0.76</formula>
      <formula>0.95</formula>
    </cfRule>
    <cfRule type="cellIs" dxfId="7438" priority="7509" operator="between">
      <formula>0.51</formula>
      <formula>0.75</formula>
    </cfRule>
    <cfRule type="cellIs" dxfId="7437" priority="7510" operator="greaterThan">
      <formula>1</formula>
    </cfRule>
    <cfRule type="cellIs" dxfId="7436" priority="7511" operator="between">
      <formula>0.95</formula>
      <formula>1</formula>
    </cfRule>
    <cfRule type="cellIs" dxfId="7435" priority="7512" stopIfTrue="1" operator="between">
      <formula>0</formula>
      <formula>0.5</formula>
    </cfRule>
  </conditionalFormatting>
  <conditionalFormatting sqref="Y188">
    <cfRule type="cellIs" dxfId="7434" priority="7498" operator="between">
      <formula>0.76</formula>
      <formula>0.95</formula>
    </cfRule>
    <cfRule type="cellIs" dxfId="7433" priority="7499" operator="between">
      <formula>0.51</formula>
      <formula>0.75</formula>
    </cfRule>
    <cfRule type="cellIs" dxfId="7432" priority="7500" operator="greaterThan">
      <formula>1</formula>
    </cfRule>
    <cfRule type="cellIs" dxfId="7431" priority="7501" operator="between">
      <formula>0.95</formula>
      <formula>1</formula>
    </cfRule>
    <cfRule type="cellIs" dxfId="7430" priority="7502" stopIfTrue="1" operator="between">
      <formula>0</formula>
      <formula>0.5</formula>
    </cfRule>
  </conditionalFormatting>
  <conditionalFormatting sqref="Y189">
    <cfRule type="cellIs" dxfId="7429" priority="7493" operator="between">
      <formula>0.76</formula>
      <formula>0.95</formula>
    </cfRule>
    <cfRule type="cellIs" dxfId="7428" priority="7494" operator="between">
      <formula>0.51</formula>
      <formula>0.75</formula>
    </cfRule>
    <cfRule type="cellIs" dxfId="7427" priority="7495" operator="greaterThan">
      <formula>1</formula>
    </cfRule>
    <cfRule type="cellIs" dxfId="7426" priority="7496" operator="between">
      <formula>0.95</formula>
      <formula>1</formula>
    </cfRule>
    <cfRule type="cellIs" dxfId="7425" priority="7497" stopIfTrue="1" operator="between">
      <formula>0</formula>
      <formula>0.5</formula>
    </cfRule>
  </conditionalFormatting>
  <conditionalFormatting sqref="Y190">
    <cfRule type="cellIs" dxfId="7424" priority="7488" operator="between">
      <formula>0.76</formula>
      <formula>0.95</formula>
    </cfRule>
    <cfRule type="cellIs" dxfId="7423" priority="7489" operator="between">
      <formula>0.51</formula>
      <formula>0.75</formula>
    </cfRule>
    <cfRule type="cellIs" dxfId="7422" priority="7490" operator="greaterThan">
      <formula>1</formula>
    </cfRule>
    <cfRule type="cellIs" dxfId="7421" priority="7491" operator="between">
      <formula>0.95</formula>
      <formula>1</formula>
    </cfRule>
    <cfRule type="cellIs" dxfId="7420" priority="7492" stopIfTrue="1" operator="between">
      <formula>0</formula>
      <formula>0.5</formula>
    </cfRule>
  </conditionalFormatting>
  <conditionalFormatting sqref="Y192">
    <cfRule type="cellIs" dxfId="7419" priority="7483" operator="between">
      <formula>0.76</formula>
      <formula>0.95</formula>
    </cfRule>
    <cfRule type="cellIs" dxfId="7418" priority="7484" operator="between">
      <formula>0.51</formula>
      <formula>0.75</formula>
    </cfRule>
    <cfRule type="cellIs" dxfId="7417" priority="7485" operator="greaterThan">
      <formula>1</formula>
    </cfRule>
    <cfRule type="cellIs" dxfId="7416" priority="7486" operator="between">
      <formula>0.95</formula>
      <formula>1</formula>
    </cfRule>
    <cfRule type="cellIs" dxfId="7415" priority="7487" stopIfTrue="1" operator="between">
      <formula>0</formula>
      <formula>0.5</formula>
    </cfRule>
  </conditionalFormatting>
  <conditionalFormatting sqref="Y191">
    <cfRule type="cellIs" dxfId="7414" priority="7478" operator="between">
      <formula>0.76</formula>
      <formula>0.95</formula>
    </cfRule>
    <cfRule type="cellIs" dxfId="7413" priority="7479" operator="between">
      <formula>0.51</formula>
      <formula>0.75</formula>
    </cfRule>
    <cfRule type="cellIs" dxfId="7412" priority="7480" operator="greaterThan">
      <formula>1</formula>
    </cfRule>
    <cfRule type="cellIs" dxfId="7411" priority="7481" operator="between">
      <formula>0.95</formula>
      <formula>1</formula>
    </cfRule>
    <cfRule type="cellIs" dxfId="7410" priority="7482" stopIfTrue="1" operator="between">
      <formula>0</formula>
      <formula>0.5</formula>
    </cfRule>
  </conditionalFormatting>
  <conditionalFormatting sqref="Y195">
    <cfRule type="cellIs" dxfId="7409" priority="7473" operator="between">
      <formula>0.76</formula>
      <formula>0.95</formula>
    </cfRule>
    <cfRule type="cellIs" dxfId="7408" priority="7474" operator="between">
      <formula>0.51</formula>
      <formula>0.75</formula>
    </cfRule>
    <cfRule type="cellIs" dxfId="7407" priority="7475" operator="greaterThan">
      <formula>1</formula>
    </cfRule>
    <cfRule type="cellIs" dxfId="7406" priority="7476" operator="between">
      <formula>0.95</formula>
      <formula>1</formula>
    </cfRule>
    <cfRule type="cellIs" dxfId="7405" priority="7477" stopIfTrue="1" operator="between">
      <formula>0</formula>
      <formula>0.5</formula>
    </cfRule>
  </conditionalFormatting>
  <conditionalFormatting sqref="Y196">
    <cfRule type="cellIs" dxfId="7404" priority="7468" operator="between">
      <formula>0.76</formula>
      <formula>0.95</formula>
    </cfRule>
    <cfRule type="cellIs" dxfId="7403" priority="7469" operator="between">
      <formula>0.51</formula>
      <formula>0.75</formula>
    </cfRule>
    <cfRule type="cellIs" dxfId="7402" priority="7470" operator="greaterThan">
      <formula>1</formula>
    </cfRule>
    <cfRule type="cellIs" dxfId="7401" priority="7471" operator="between">
      <formula>0.95</formula>
      <formula>1</formula>
    </cfRule>
    <cfRule type="cellIs" dxfId="7400" priority="7472" stopIfTrue="1" operator="between">
      <formula>0</formula>
      <formula>0.5</formula>
    </cfRule>
  </conditionalFormatting>
  <conditionalFormatting sqref="Y197">
    <cfRule type="cellIs" dxfId="7399" priority="7463" operator="between">
      <formula>0.76</formula>
      <formula>0.95</formula>
    </cfRule>
    <cfRule type="cellIs" dxfId="7398" priority="7464" operator="between">
      <formula>0.51</formula>
      <formula>0.75</formula>
    </cfRule>
    <cfRule type="cellIs" dxfId="7397" priority="7465" operator="greaterThan">
      <formula>1</formula>
    </cfRule>
    <cfRule type="cellIs" dxfId="7396" priority="7466" operator="between">
      <formula>0.95</formula>
      <formula>1</formula>
    </cfRule>
    <cfRule type="cellIs" dxfId="7395" priority="7467" stopIfTrue="1" operator="between">
      <formula>0</formula>
      <formula>0.5</formula>
    </cfRule>
  </conditionalFormatting>
  <conditionalFormatting sqref="Y198">
    <cfRule type="cellIs" dxfId="7394" priority="7458" operator="between">
      <formula>0.76</formula>
      <formula>0.95</formula>
    </cfRule>
    <cfRule type="cellIs" dxfId="7393" priority="7459" operator="between">
      <formula>0.51</formula>
      <formula>0.75</formula>
    </cfRule>
    <cfRule type="cellIs" dxfId="7392" priority="7460" operator="greaterThan">
      <formula>1</formula>
    </cfRule>
    <cfRule type="cellIs" dxfId="7391" priority="7461" operator="between">
      <formula>0.95</formula>
      <formula>1</formula>
    </cfRule>
    <cfRule type="cellIs" dxfId="7390" priority="7462" stopIfTrue="1" operator="between">
      <formula>0</formula>
      <formula>0.5</formula>
    </cfRule>
  </conditionalFormatting>
  <conditionalFormatting sqref="Y199">
    <cfRule type="cellIs" dxfId="7389" priority="7453" operator="between">
      <formula>0.76</formula>
      <formula>0.95</formula>
    </cfRule>
    <cfRule type="cellIs" dxfId="7388" priority="7454" operator="between">
      <formula>0.51</formula>
      <formula>0.75</formula>
    </cfRule>
    <cfRule type="cellIs" dxfId="7387" priority="7455" operator="greaterThan">
      <formula>1</formula>
    </cfRule>
    <cfRule type="cellIs" dxfId="7386" priority="7456" operator="between">
      <formula>0.95</formula>
      <formula>1</formula>
    </cfRule>
    <cfRule type="cellIs" dxfId="7385" priority="7457" stopIfTrue="1" operator="between">
      <formula>0</formula>
      <formula>0.5</formula>
    </cfRule>
  </conditionalFormatting>
  <conditionalFormatting sqref="Y200">
    <cfRule type="cellIs" dxfId="7384" priority="7448" operator="between">
      <formula>0.76</formula>
      <formula>0.95</formula>
    </cfRule>
    <cfRule type="cellIs" dxfId="7383" priority="7449" operator="between">
      <formula>0.51</formula>
      <formula>0.75</formula>
    </cfRule>
    <cfRule type="cellIs" dxfId="7382" priority="7450" operator="greaterThan">
      <formula>1</formula>
    </cfRule>
    <cfRule type="cellIs" dxfId="7381" priority="7451" operator="between">
      <formula>0.95</formula>
      <formula>1</formula>
    </cfRule>
    <cfRule type="cellIs" dxfId="7380" priority="7452" stopIfTrue="1" operator="between">
      <formula>0</formula>
      <formula>0.5</formula>
    </cfRule>
  </conditionalFormatting>
  <conditionalFormatting sqref="Y201">
    <cfRule type="cellIs" dxfId="7379" priority="7443" operator="between">
      <formula>0.76</formula>
      <formula>0.95</formula>
    </cfRule>
    <cfRule type="cellIs" dxfId="7378" priority="7444" operator="between">
      <formula>0.51</formula>
      <formula>0.75</formula>
    </cfRule>
    <cfRule type="cellIs" dxfId="7377" priority="7445" operator="greaterThan">
      <formula>1</formula>
    </cfRule>
    <cfRule type="cellIs" dxfId="7376" priority="7446" operator="between">
      <formula>0.95</formula>
      <formula>1</formula>
    </cfRule>
    <cfRule type="cellIs" dxfId="7375" priority="7447" stopIfTrue="1" operator="between">
      <formula>0</formula>
      <formula>0.5</formula>
    </cfRule>
  </conditionalFormatting>
  <conditionalFormatting sqref="Y202">
    <cfRule type="cellIs" dxfId="7374" priority="7438" operator="between">
      <formula>0.76</formula>
      <formula>0.95</formula>
    </cfRule>
    <cfRule type="cellIs" dxfId="7373" priority="7439" operator="between">
      <formula>0.51</formula>
      <formula>0.75</formula>
    </cfRule>
    <cfRule type="cellIs" dxfId="7372" priority="7440" operator="greaterThan">
      <formula>1</formula>
    </cfRule>
    <cfRule type="cellIs" dxfId="7371" priority="7441" operator="between">
      <formula>0.95</formula>
      <formula>1</formula>
    </cfRule>
    <cfRule type="cellIs" dxfId="7370" priority="7442" stopIfTrue="1" operator="between">
      <formula>0</formula>
      <formula>0.5</formula>
    </cfRule>
  </conditionalFormatting>
  <conditionalFormatting sqref="Y203">
    <cfRule type="cellIs" dxfId="7369" priority="7433" operator="between">
      <formula>0.76</formula>
      <formula>0.95</formula>
    </cfRule>
    <cfRule type="cellIs" dxfId="7368" priority="7434" operator="between">
      <formula>0.51</formula>
      <formula>0.75</formula>
    </cfRule>
    <cfRule type="cellIs" dxfId="7367" priority="7435" operator="greaterThan">
      <formula>1</formula>
    </cfRule>
    <cfRule type="cellIs" dxfId="7366" priority="7436" operator="between">
      <formula>0.95</formula>
      <formula>1</formula>
    </cfRule>
    <cfRule type="cellIs" dxfId="7365" priority="7437" stopIfTrue="1" operator="between">
      <formula>0</formula>
      <formula>0.5</formula>
    </cfRule>
  </conditionalFormatting>
  <conditionalFormatting sqref="Y204">
    <cfRule type="cellIs" dxfId="7364" priority="7428" operator="between">
      <formula>0.76</formula>
      <formula>0.95</formula>
    </cfRule>
    <cfRule type="cellIs" dxfId="7363" priority="7429" operator="between">
      <formula>0.51</formula>
      <formula>0.75</formula>
    </cfRule>
    <cfRule type="cellIs" dxfId="7362" priority="7430" operator="greaterThan">
      <formula>1</formula>
    </cfRule>
    <cfRule type="cellIs" dxfId="7361" priority="7431" operator="between">
      <formula>0.95</formula>
      <formula>1</formula>
    </cfRule>
    <cfRule type="cellIs" dxfId="7360" priority="7432" stopIfTrue="1" operator="between">
      <formula>0</formula>
      <formula>0.5</formula>
    </cfRule>
  </conditionalFormatting>
  <conditionalFormatting sqref="Y207">
    <cfRule type="cellIs" dxfId="7359" priority="7423" operator="between">
      <formula>0.76</formula>
      <formula>0.95</formula>
    </cfRule>
    <cfRule type="cellIs" dxfId="7358" priority="7424" operator="between">
      <formula>0.51</formula>
      <formula>0.75</formula>
    </cfRule>
    <cfRule type="cellIs" dxfId="7357" priority="7425" operator="greaterThan">
      <formula>1</formula>
    </cfRule>
    <cfRule type="cellIs" dxfId="7356" priority="7426" operator="between">
      <formula>0.95</formula>
      <formula>1</formula>
    </cfRule>
    <cfRule type="cellIs" dxfId="7355" priority="7427" stopIfTrue="1" operator="between">
      <formula>0</formula>
      <formula>0.5</formula>
    </cfRule>
  </conditionalFormatting>
  <conditionalFormatting sqref="Y205">
    <cfRule type="cellIs" dxfId="7354" priority="7418" operator="between">
      <formula>0.76</formula>
      <formula>0.95</formula>
    </cfRule>
    <cfRule type="cellIs" dxfId="7353" priority="7419" operator="between">
      <formula>0.51</formula>
      <formula>0.75</formula>
    </cfRule>
    <cfRule type="cellIs" dxfId="7352" priority="7420" operator="greaterThan">
      <formula>1</formula>
    </cfRule>
    <cfRule type="cellIs" dxfId="7351" priority="7421" operator="between">
      <formula>0.95</formula>
      <formula>1</formula>
    </cfRule>
    <cfRule type="cellIs" dxfId="7350" priority="7422" stopIfTrue="1" operator="between">
      <formula>0</formula>
      <formula>0.5</formula>
    </cfRule>
  </conditionalFormatting>
  <conditionalFormatting sqref="Y206">
    <cfRule type="cellIs" dxfId="7349" priority="7413" operator="between">
      <formula>0.76</formula>
      <formula>0.95</formula>
    </cfRule>
    <cfRule type="cellIs" dxfId="7348" priority="7414" operator="between">
      <formula>0.51</formula>
      <formula>0.75</formula>
    </cfRule>
    <cfRule type="cellIs" dxfId="7347" priority="7415" operator="greaterThan">
      <formula>1</formula>
    </cfRule>
    <cfRule type="cellIs" dxfId="7346" priority="7416" operator="between">
      <formula>0.95</formula>
      <formula>1</formula>
    </cfRule>
    <cfRule type="cellIs" dxfId="7345" priority="7417" stopIfTrue="1" operator="between">
      <formula>0</formula>
      <formula>0.5</formula>
    </cfRule>
  </conditionalFormatting>
  <conditionalFormatting sqref="Y208">
    <cfRule type="cellIs" dxfId="7344" priority="7408" operator="between">
      <formula>0.76</formula>
      <formula>0.95</formula>
    </cfRule>
    <cfRule type="cellIs" dxfId="7343" priority="7409" operator="between">
      <formula>0.51</formula>
      <formula>0.75</formula>
    </cfRule>
    <cfRule type="cellIs" dxfId="7342" priority="7410" operator="greaterThan">
      <formula>1</formula>
    </cfRule>
    <cfRule type="cellIs" dxfId="7341" priority="7411" operator="between">
      <formula>0.95</formula>
      <formula>1</formula>
    </cfRule>
    <cfRule type="cellIs" dxfId="7340" priority="7412" stopIfTrue="1" operator="between">
      <formula>0</formula>
      <formula>0.5</formula>
    </cfRule>
  </conditionalFormatting>
  <conditionalFormatting sqref="Y209">
    <cfRule type="cellIs" dxfId="7339" priority="7403" operator="between">
      <formula>0.76</formula>
      <formula>0.95</formula>
    </cfRule>
    <cfRule type="cellIs" dxfId="7338" priority="7404" operator="between">
      <formula>0.51</formula>
      <formula>0.75</formula>
    </cfRule>
    <cfRule type="cellIs" dxfId="7337" priority="7405" operator="greaterThan">
      <formula>1</formula>
    </cfRule>
    <cfRule type="cellIs" dxfId="7336" priority="7406" operator="between">
      <formula>0.95</formula>
      <formula>1</formula>
    </cfRule>
    <cfRule type="cellIs" dxfId="7335" priority="7407" stopIfTrue="1" operator="between">
      <formula>0</formula>
      <formula>0.5</formula>
    </cfRule>
  </conditionalFormatting>
  <conditionalFormatting sqref="Y210">
    <cfRule type="cellIs" dxfId="7334" priority="7398" operator="between">
      <formula>0.76</formula>
      <formula>0.95</formula>
    </cfRule>
    <cfRule type="cellIs" dxfId="7333" priority="7399" operator="between">
      <formula>0.51</formula>
      <formula>0.75</formula>
    </cfRule>
    <cfRule type="cellIs" dxfId="7332" priority="7400" operator="greaterThan">
      <formula>1</formula>
    </cfRule>
    <cfRule type="cellIs" dxfId="7331" priority="7401" operator="between">
      <formula>0.95</formula>
      <formula>1</formula>
    </cfRule>
    <cfRule type="cellIs" dxfId="7330" priority="7402" stopIfTrue="1" operator="between">
      <formula>0</formula>
      <formula>0.5</formula>
    </cfRule>
  </conditionalFormatting>
  <conditionalFormatting sqref="Y212">
    <cfRule type="cellIs" dxfId="7329" priority="7388" operator="between">
      <formula>0.76</formula>
      <formula>0.95</formula>
    </cfRule>
    <cfRule type="cellIs" dxfId="7328" priority="7389" operator="between">
      <formula>0.51</formula>
      <formula>0.75</formula>
    </cfRule>
    <cfRule type="cellIs" dxfId="7327" priority="7390" operator="greaterThan">
      <formula>1</formula>
    </cfRule>
    <cfRule type="cellIs" dxfId="7326" priority="7391" operator="between">
      <formula>0.95</formula>
      <formula>1</formula>
    </cfRule>
    <cfRule type="cellIs" dxfId="7325" priority="7392" stopIfTrue="1" operator="between">
      <formula>0</formula>
      <formula>0.5</formula>
    </cfRule>
  </conditionalFormatting>
  <conditionalFormatting sqref="Y213">
    <cfRule type="cellIs" dxfId="7324" priority="7383" operator="between">
      <formula>0.76</formula>
      <formula>0.95</formula>
    </cfRule>
    <cfRule type="cellIs" dxfId="7323" priority="7384" operator="between">
      <formula>0.51</formula>
      <formula>0.75</formula>
    </cfRule>
    <cfRule type="cellIs" dxfId="7322" priority="7385" operator="greaterThan">
      <formula>1</formula>
    </cfRule>
    <cfRule type="cellIs" dxfId="7321" priority="7386" operator="between">
      <formula>0.95</formula>
      <formula>1</formula>
    </cfRule>
    <cfRule type="cellIs" dxfId="7320" priority="7387" stopIfTrue="1" operator="between">
      <formula>0</formula>
      <formula>0.5</formula>
    </cfRule>
  </conditionalFormatting>
  <conditionalFormatting sqref="Y215">
    <cfRule type="cellIs" dxfId="7319" priority="7378" operator="between">
      <formula>0.76</formula>
      <formula>0.95</formula>
    </cfRule>
    <cfRule type="cellIs" dxfId="7318" priority="7379" operator="between">
      <formula>0.51</formula>
      <formula>0.75</formula>
    </cfRule>
    <cfRule type="cellIs" dxfId="7317" priority="7380" operator="greaterThan">
      <formula>1</formula>
    </cfRule>
    <cfRule type="cellIs" dxfId="7316" priority="7381" operator="between">
      <formula>0.95</formula>
      <formula>1</formula>
    </cfRule>
    <cfRule type="cellIs" dxfId="7315" priority="7382" stopIfTrue="1" operator="between">
      <formula>0</formula>
      <formula>0.5</formula>
    </cfRule>
  </conditionalFormatting>
  <conditionalFormatting sqref="Y216">
    <cfRule type="cellIs" dxfId="7314" priority="7373" operator="between">
      <formula>0.76</formula>
      <formula>0.95</formula>
    </cfRule>
    <cfRule type="cellIs" dxfId="7313" priority="7374" operator="between">
      <formula>0.51</formula>
      <formula>0.75</formula>
    </cfRule>
    <cfRule type="cellIs" dxfId="7312" priority="7375" operator="greaterThan">
      <formula>1</formula>
    </cfRule>
    <cfRule type="cellIs" dxfId="7311" priority="7376" operator="between">
      <formula>0.95</formula>
      <formula>1</formula>
    </cfRule>
    <cfRule type="cellIs" dxfId="7310" priority="7377" stopIfTrue="1" operator="between">
      <formula>0</formula>
      <formula>0.5</formula>
    </cfRule>
  </conditionalFormatting>
  <conditionalFormatting sqref="Y217">
    <cfRule type="cellIs" dxfId="7309" priority="7368" operator="between">
      <formula>0.76</formula>
      <formula>0.95</formula>
    </cfRule>
    <cfRule type="cellIs" dxfId="7308" priority="7369" operator="between">
      <formula>0.51</formula>
      <formula>0.75</formula>
    </cfRule>
    <cfRule type="cellIs" dxfId="7307" priority="7370" operator="greaterThan">
      <formula>1</formula>
    </cfRule>
    <cfRule type="cellIs" dxfId="7306" priority="7371" operator="between">
      <formula>0.95</formula>
      <formula>1</formula>
    </cfRule>
    <cfRule type="cellIs" dxfId="7305" priority="7372" stopIfTrue="1" operator="between">
      <formula>0</formula>
      <formula>0.5</formula>
    </cfRule>
  </conditionalFormatting>
  <conditionalFormatting sqref="Y218">
    <cfRule type="cellIs" dxfId="7304" priority="7363" operator="between">
      <formula>0.76</formula>
      <formula>0.95</formula>
    </cfRule>
    <cfRule type="cellIs" dxfId="7303" priority="7364" operator="between">
      <formula>0.51</formula>
      <formula>0.75</formula>
    </cfRule>
    <cfRule type="cellIs" dxfId="7302" priority="7365" operator="greaterThan">
      <formula>1</formula>
    </cfRule>
    <cfRule type="cellIs" dxfId="7301" priority="7366" operator="between">
      <formula>0.95</formula>
      <formula>1</formula>
    </cfRule>
    <cfRule type="cellIs" dxfId="7300" priority="7367" stopIfTrue="1" operator="between">
      <formula>0</formula>
      <formula>0.5</formula>
    </cfRule>
  </conditionalFormatting>
  <conditionalFormatting sqref="AF20">
    <cfRule type="cellIs" dxfId="7299" priority="7278" operator="between">
      <formula>0.76</formula>
      <formula>0.95</formula>
    </cfRule>
    <cfRule type="cellIs" dxfId="7298" priority="7279" operator="between">
      <formula>0.51</formula>
      <formula>0.75</formula>
    </cfRule>
    <cfRule type="cellIs" dxfId="7297" priority="7280" operator="greaterThan">
      <formula>1</formula>
    </cfRule>
    <cfRule type="cellIs" dxfId="7296" priority="7281" operator="between">
      <formula>0.95</formula>
      <formula>1</formula>
    </cfRule>
    <cfRule type="cellIs" dxfId="7295" priority="7282" stopIfTrue="1" operator="between">
      <formula>0</formula>
      <formula>0.5</formula>
    </cfRule>
  </conditionalFormatting>
  <conditionalFormatting sqref="Y220">
    <cfRule type="cellIs" dxfId="7294" priority="7353" operator="between">
      <formula>0.76</formula>
      <formula>0.95</formula>
    </cfRule>
    <cfRule type="cellIs" dxfId="7293" priority="7354" operator="between">
      <formula>0.51</formula>
      <formula>0.75</formula>
    </cfRule>
    <cfRule type="cellIs" dxfId="7292" priority="7355" operator="greaterThan">
      <formula>1</formula>
    </cfRule>
    <cfRule type="cellIs" dxfId="7291" priority="7356" operator="between">
      <formula>0.95</formula>
      <formula>1</formula>
    </cfRule>
    <cfRule type="cellIs" dxfId="7290" priority="7357" stopIfTrue="1" operator="between">
      <formula>0</formula>
      <formula>0.5</formula>
    </cfRule>
  </conditionalFormatting>
  <conditionalFormatting sqref="Y221">
    <cfRule type="cellIs" dxfId="7289" priority="7348" operator="between">
      <formula>0.76</formula>
      <formula>0.95</formula>
    </cfRule>
    <cfRule type="cellIs" dxfId="7288" priority="7349" operator="between">
      <formula>0.51</formula>
      <formula>0.75</formula>
    </cfRule>
    <cfRule type="cellIs" dxfId="7287" priority="7350" operator="greaterThan">
      <formula>1</formula>
    </cfRule>
    <cfRule type="cellIs" dxfId="7286" priority="7351" operator="between">
      <formula>0.95</formula>
      <formula>1</formula>
    </cfRule>
    <cfRule type="cellIs" dxfId="7285" priority="7352" stopIfTrue="1" operator="between">
      <formula>0</formula>
      <formula>0.5</formula>
    </cfRule>
  </conditionalFormatting>
  <conditionalFormatting sqref="Y222">
    <cfRule type="cellIs" dxfId="7284" priority="7343" operator="between">
      <formula>0.76</formula>
      <formula>0.95</formula>
    </cfRule>
    <cfRule type="cellIs" dxfId="7283" priority="7344" operator="between">
      <formula>0.51</formula>
      <formula>0.75</formula>
    </cfRule>
    <cfRule type="cellIs" dxfId="7282" priority="7345" operator="greaterThan">
      <formula>1</formula>
    </cfRule>
    <cfRule type="cellIs" dxfId="7281" priority="7346" operator="between">
      <formula>0.95</formula>
      <formula>1</formula>
    </cfRule>
    <cfRule type="cellIs" dxfId="7280" priority="7347" stopIfTrue="1" operator="between">
      <formula>0</formula>
      <formula>0.5</formula>
    </cfRule>
  </conditionalFormatting>
  <conditionalFormatting sqref="Y223">
    <cfRule type="cellIs" dxfId="7279" priority="7338" operator="between">
      <formula>0.76</formula>
      <formula>0.95</formula>
    </cfRule>
    <cfRule type="cellIs" dxfId="7278" priority="7339" operator="between">
      <formula>0.51</formula>
      <formula>0.75</formula>
    </cfRule>
    <cfRule type="cellIs" dxfId="7277" priority="7340" operator="greaterThan">
      <formula>1</formula>
    </cfRule>
    <cfRule type="cellIs" dxfId="7276" priority="7341" operator="between">
      <formula>0.95</formula>
      <formula>1</formula>
    </cfRule>
    <cfRule type="cellIs" dxfId="7275" priority="7342" stopIfTrue="1" operator="between">
      <formula>0</formula>
      <formula>0.5</formula>
    </cfRule>
  </conditionalFormatting>
  <conditionalFormatting sqref="Y224">
    <cfRule type="cellIs" dxfId="7274" priority="7333" operator="between">
      <formula>0.76</formula>
      <formula>0.95</formula>
    </cfRule>
    <cfRule type="cellIs" dxfId="7273" priority="7334" operator="between">
      <formula>0.51</formula>
      <formula>0.75</formula>
    </cfRule>
    <cfRule type="cellIs" dxfId="7272" priority="7335" operator="greaterThan">
      <formula>1</formula>
    </cfRule>
    <cfRule type="cellIs" dxfId="7271" priority="7336" operator="between">
      <formula>0.95</formula>
      <formula>1</formula>
    </cfRule>
    <cfRule type="cellIs" dxfId="7270" priority="7337" stopIfTrue="1" operator="between">
      <formula>0</formula>
      <formula>0.5</formula>
    </cfRule>
  </conditionalFormatting>
  <conditionalFormatting sqref="Y225">
    <cfRule type="cellIs" dxfId="7269" priority="7328" operator="between">
      <formula>0.76</formula>
      <formula>0.95</formula>
    </cfRule>
    <cfRule type="cellIs" dxfId="7268" priority="7329" operator="between">
      <formula>0.51</formula>
      <formula>0.75</formula>
    </cfRule>
    <cfRule type="cellIs" dxfId="7267" priority="7330" operator="greaterThan">
      <formula>1</formula>
    </cfRule>
    <cfRule type="cellIs" dxfId="7266" priority="7331" operator="between">
      <formula>0.95</formula>
      <formula>1</formula>
    </cfRule>
    <cfRule type="cellIs" dxfId="7265" priority="7332" stopIfTrue="1" operator="between">
      <formula>0</formula>
      <formula>0.5</formula>
    </cfRule>
  </conditionalFormatting>
  <conditionalFormatting sqref="AF15">
    <cfRule type="cellIs" dxfId="7264" priority="7323" operator="between">
      <formula>0.76</formula>
      <formula>0.95</formula>
    </cfRule>
    <cfRule type="cellIs" dxfId="7263" priority="7324" operator="between">
      <formula>0.51</formula>
      <formula>0.75</formula>
    </cfRule>
    <cfRule type="cellIs" dxfId="7262" priority="7325" operator="greaterThan">
      <formula>1</formula>
    </cfRule>
    <cfRule type="cellIs" dxfId="7261" priority="7326" operator="between">
      <formula>0.95</formula>
      <formula>1</formula>
    </cfRule>
    <cfRule type="cellIs" dxfId="7260" priority="7327" stopIfTrue="1" operator="between">
      <formula>0</formula>
      <formula>0.5</formula>
    </cfRule>
  </conditionalFormatting>
  <conditionalFormatting sqref="AF16">
    <cfRule type="cellIs" dxfId="7259" priority="7318" operator="between">
      <formula>0.76</formula>
      <formula>0.95</formula>
    </cfRule>
    <cfRule type="cellIs" dxfId="7258" priority="7319" operator="between">
      <formula>0.51</formula>
      <formula>0.75</formula>
    </cfRule>
    <cfRule type="cellIs" dxfId="7257" priority="7320" operator="greaterThan">
      <formula>1</formula>
    </cfRule>
    <cfRule type="cellIs" dxfId="7256" priority="7321" operator="between">
      <formula>0.95</formula>
      <formula>1</formula>
    </cfRule>
    <cfRule type="cellIs" dxfId="7255" priority="7322" stopIfTrue="1" operator="between">
      <formula>0</formula>
      <formula>0.5</formula>
    </cfRule>
  </conditionalFormatting>
  <conditionalFormatting sqref="AF17">
    <cfRule type="cellIs" dxfId="7254" priority="7313" operator="between">
      <formula>0.76</formula>
      <formula>0.95</formula>
    </cfRule>
    <cfRule type="cellIs" dxfId="7253" priority="7314" operator="between">
      <formula>0.51</formula>
      <formula>0.75</formula>
    </cfRule>
    <cfRule type="cellIs" dxfId="7252" priority="7315" operator="greaterThan">
      <formula>1</formula>
    </cfRule>
    <cfRule type="cellIs" dxfId="7251" priority="7316" operator="between">
      <formula>0.95</formula>
      <formula>1</formula>
    </cfRule>
    <cfRule type="cellIs" dxfId="7250" priority="7317" stopIfTrue="1" operator="between">
      <formula>0</formula>
      <formula>0.5</formula>
    </cfRule>
  </conditionalFormatting>
  <conditionalFormatting sqref="AF18">
    <cfRule type="cellIs" dxfId="7249" priority="7293" operator="between">
      <formula>0.76</formula>
      <formula>0.95</formula>
    </cfRule>
    <cfRule type="cellIs" dxfId="7248" priority="7294" operator="between">
      <formula>0.51</formula>
      <formula>0.75</formula>
    </cfRule>
    <cfRule type="cellIs" dxfId="7247" priority="7295" operator="greaterThan">
      <formula>1</formula>
    </cfRule>
    <cfRule type="cellIs" dxfId="7246" priority="7296" operator="between">
      <formula>0.95</formula>
      <formula>1</formula>
    </cfRule>
    <cfRule type="cellIs" dxfId="7245" priority="7297" stopIfTrue="1" operator="between">
      <formula>0</formula>
      <formula>0.5</formula>
    </cfRule>
  </conditionalFormatting>
  <conditionalFormatting sqref="AF19">
    <cfRule type="cellIs" dxfId="7244" priority="7288" operator="between">
      <formula>0.76</formula>
      <formula>0.95</formula>
    </cfRule>
    <cfRule type="cellIs" dxfId="7243" priority="7289" operator="between">
      <formula>0.51</formula>
      <formula>0.75</formula>
    </cfRule>
    <cfRule type="cellIs" dxfId="7242" priority="7290" operator="greaterThan">
      <formula>1</formula>
    </cfRule>
    <cfRule type="cellIs" dxfId="7241" priority="7291" operator="between">
      <formula>0.95</formula>
      <formula>1</formula>
    </cfRule>
    <cfRule type="cellIs" dxfId="7240" priority="7292" stopIfTrue="1" operator="between">
      <formula>0</formula>
      <formula>0.5</formula>
    </cfRule>
  </conditionalFormatting>
  <conditionalFormatting sqref="AF21">
    <cfRule type="cellIs" dxfId="7239" priority="7273" operator="between">
      <formula>0.76</formula>
      <formula>0.95</formula>
    </cfRule>
    <cfRule type="cellIs" dxfId="7238" priority="7274" operator="between">
      <formula>0.51</formula>
      <formula>0.75</formula>
    </cfRule>
    <cfRule type="cellIs" dxfId="7237" priority="7275" operator="greaterThan">
      <formula>1</formula>
    </cfRule>
    <cfRule type="cellIs" dxfId="7236" priority="7276" operator="between">
      <formula>0.95</formula>
      <formula>1</formula>
    </cfRule>
    <cfRule type="cellIs" dxfId="7235" priority="7277" stopIfTrue="1" operator="between">
      <formula>0</formula>
      <formula>0.5</formula>
    </cfRule>
  </conditionalFormatting>
  <conditionalFormatting sqref="AF22">
    <cfRule type="cellIs" dxfId="7234" priority="7268" operator="between">
      <formula>0.76</formula>
      <formula>0.95</formula>
    </cfRule>
    <cfRule type="cellIs" dxfId="7233" priority="7269" operator="between">
      <formula>0.51</formula>
      <formula>0.75</formula>
    </cfRule>
    <cfRule type="cellIs" dxfId="7232" priority="7270" operator="greaterThan">
      <formula>1</formula>
    </cfRule>
    <cfRule type="cellIs" dxfId="7231" priority="7271" operator="between">
      <formula>0.95</formula>
      <formula>1</formula>
    </cfRule>
    <cfRule type="cellIs" dxfId="7230" priority="7272" stopIfTrue="1" operator="between">
      <formula>0</formula>
      <formula>0.5</formula>
    </cfRule>
  </conditionalFormatting>
  <conditionalFormatting sqref="AF23">
    <cfRule type="cellIs" dxfId="7229" priority="7263" operator="between">
      <formula>0.76</formula>
      <formula>0.95</formula>
    </cfRule>
    <cfRule type="cellIs" dxfId="7228" priority="7264" operator="between">
      <formula>0.51</formula>
      <formula>0.75</formula>
    </cfRule>
    <cfRule type="cellIs" dxfId="7227" priority="7265" operator="greaterThan">
      <formula>1</formula>
    </cfRule>
    <cfRule type="cellIs" dxfId="7226" priority="7266" operator="between">
      <formula>0.95</formula>
      <formula>1</formula>
    </cfRule>
    <cfRule type="cellIs" dxfId="7225" priority="7267" stopIfTrue="1" operator="between">
      <formula>0</formula>
      <formula>0.5</formula>
    </cfRule>
  </conditionalFormatting>
  <conditionalFormatting sqref="AF26">
    <cfRule type="cellIs" dxfId="7224" priority="7258" operator="between">
      <formula>0.76</formula>
      <formula>0.95</formula>
    </cfRule>
    <cfRule type="cellIs" dxfId="7223" priority="7259" operator="between">
      <formula>0.51</formula>
      <formula>0.75</formula>
    </cfRule>
    <cfRule type="cellIs" dxfId="7222" priority="7260" operator="greaterThan">
      <formula>1</formula>
    </cfRule>
    <cfRule type="cellIs" dxfId="7221" priority="7261" operator="between">
      <formula>0.95</formula>
      <formula>1</formula>
    </cfRule>
    <cfRule type="cellIs" dxfId="7220" priority="7262" stopIfTrue="1" operator="between">
      <formula>0</formula>
      <formula>0.5</formula>
    </cfRule>
  </conditionalFormatting>
  <conditionalFormatting sqref="AF25">
    <cfRule type="cellIs" dxfId="7219" priority="7253" operator="between">
      <formula>0.76</formula>
      <formula>0.95</formula>
    </cfRule>
    <cfRule type="cellIs" dxfId="7218" priority="7254" operator="between">
      <formula>0.51</formula>
      <formula>0.75</formula>
    </cfRule>
    <cfRule type="cellIs" dxfId="7217" priority="7255" operator="greaterThan">
      <formula>1</formula>
    </cfRule>
    <cfRule type="cellIs" dxfId="7216" priority="7256" operator="between">
      <formula>0.95</formula>
      <formula>1</formula>
    </cfRule>
    <cfRule type="cellIs" dxfId="7215" priority="7257" stopIfTrue="1" operator="between">
      <formula>0</formula>
      <formula>0.5</formula>
    </cfRule>
  </conditionalFormatting>
  <conditionalFormatting sqref="AF27">
    <cfRule type="cellIs" dxfId="7214" priority="7248" operator="between">
      <formula>0.76</formula>
      <formula>0.95</formula>
    </cfRule>
    <cfRule type="cellIs" dxfId="7213" priority="7249" operator="between">
      <formula>0.51</formula>
      <formula>0.75</formula>
    </cfRule>
    <cfRule type="cellIs" dxfId="7212" priority="7250" operator="greaterThan">
      <formula>1</formula>
    </cfRule>
    <cfRule type="cellIs" dxfId="7211" priority="7251" operator="between">
      <formula>0.95</formula>
      <formula>1</formula>
    </cfRule>
    <cfRule type="cellIs" dxfId="7210" priority="7252" stopIfTrue="1" operator="between">
      <formula>0</formula>
      <formula>0.5</formula>
    </cfRule>
  </conditionalFormatting>
  <conditionalFormatting sqref="AF28">
    <cfRule type="cellIs" dxfId="7209" priority="7243" operator="between">
      <formula>0.76</formula>
      <formula>0.95</formula>
    </cfRule>
    <cfRule type="cellIs" dxfId="7208" priority="7244" operator="between">
      <formula>0.51</formula>
      <formula>0.75</formula>
    </cfRule>
    <cfRule type="cellIs" dxfId="7207" priority="7245" operator="greaterThan">
      <formula>1</formula>
    </cfRule>
    <cfRule type="cellIs" dxfId="7206" priority="7246" operator="between">
      <formula>0.95</formula>
      <formula>1</formula>
    </cfRule>
    <cfRule type="cellIs" dxfId="7205" priority="7247" stopIfTrue="1" operator="between">
      <formula>0</formula>
      <formula>0.5</formula>
    </cfRule>
  </conditionalFormatting>
  <conditionalFormatting sqref="AF29">
    <cfRule type="cellIs" dxfId="7204" priority="7238" operator="between">
      <formula>0.76</formula>
      <formula>0.95</formula>
    </cfRule>
    <cfRule type="cellIs" dxfId="7203" priority="7239" operator="between">
      <formula>0.51</formula>
      <formula>0.75</formula>
    </cfRule>
    <cfRule type="cellIs" dxfId="7202" priority="7240" operator="greaterThan">
      <formula>1</formula>
    </cfRule>
    <cfRule type="cellIs" dxfId="7201" priority="7241" operator="between">
      <formula>0.95</formula>
      <formula>1</formula>
    </cfRule>
    <cfRule type="cellIs" dxfId="7200" priority="7242" stopIfTrue="1" operator="between">
      <formula>0</formula>
      <formula>0.5</formula>
    </cfRule>
  </conditionalFormatting>
  <conditionalFormatting sqref="AF30">
    <cfRule type="cellIs" dxfId="7199" priority="7233" operator="between">
      <formula>0.76</formula>
      <formula>0.95</formula>
    </cfRule>
    <cfRule type="cellIs" dxfId="7198" priority="7234" operator="between">
      <formula>0.51</formula>
      <formula>0.75</formula>
    </cfRule>
    <cfRule type="cellIs" dxfId="7197" priority="7235" operator="greaterThan">
      <formula>1</formula>
    </cfRule>
    <cfRule type="cellIs" dxfId="7196" priority="7236" operator="between">
      <formula>0.95</formula>
      <formula>1</formula>
    </cfRule>
    <cfRule type="cellIs" dxfId="7195" priority="7237" stopIfTrue="1" operator="between">
      <formula>0</formula>
      <formula>0.5</formula>
    </cfRule>
  </conditionalFormatting>
  <conditionalFormatting sqref="AF31">
    <cfRule type="cellIs" dxfId="7194" priority="7228" operator="between">
      <formula>0.76</formula>
      <formula>0.95</formula>
    </cfRule>
    <cfRule type="cellIs" dxfId="7193" priority="7229" operator="between">
      <formula>0.51</formula>
      <formula>0.75</formula>
    </cfRule>
    <cfRule type="cellIs" dxfId="7192" priority="7230" operator="greaterThan">
      <formula>1</formula>
    </cfRule>
    <cfRule type="cellIs" dxfId="7191" priority="7231" operator="between">
      <formula>0.95</formula>
      <formula>1</formula>
    </cfRule>
    <cfRule type="cellIs" dxfId="7190" priority="7232" stopIfTrue="1" operator="between">
      <formula>0</formula>
      <formula>0.5</formula>
    </cfRule>
  </conditionalFormatting>
  <conditionalFormatting sqref="AF35">
    <cfRule type="cellIs" dxfId="7189" priority="7223" operator="between">
      <formula>0.76</formula>
      <formula>0.95</formula>
    </cfRule>
    <cfRule type="cellIs" dxfId="7188" priority="7224" operator="between">
      <formula>0.51</formula>
      <formula>0.75</formula>
    </cfRule>
    <cfRule type="cellIs" dxfId="7187" priority="7225" operator="greaterThan">
      <formula>1</formula>
    </cfRule>
    <cfRule type="cellIs" dxfId="7186" priority="7226" operator="between">
      <formula>0.95</formula>
      <formula>1</formula>
    </cfRule>
    <cfRule type="cellIs" dxfId="7185" priority="7227" stopIfTrue="1" operator="between">
      <formula>0</formula>
      <formula>0.5</formula>
    </cfRule>
  </conditionalFormatting>
  <conditionalFormatting sqref="AF36">
    <cfRule type="cellIs" dxfId="7184" priority="7208" operator="between">
      <formula>0.76</formula>
      <formula>0.95</formula>
    </cfRule>
    <cfRule type="cellIs" dxfId="7183" priority="7209" operator="between">
      <formula>0.51</formula>
      <formula>0.75</formula>
    </cfRule>
    <cfRule type="cellIs" dxfId="7182" priority="7210" operator="greaterThan">
      <formula>1</formula>
    </cfRule>
    <cfRule type="cellIs" dxfId="7181" priority="7211" operator="between">
      <formula>0.95</formula>
      <formula>1</formula>
    </cfRule>
    <cfRule type="cellIs" dxfId="7180" priority="7212" stopIfTrue="1" operator="between">
      <formula>0</formula>
      <formula>0.5</formula>
    </cfRule>
  </conditionalFormatting>
  <conditionalFormatting sqref="AF37">
    <cfRule type="cellIs" dxfId="7179" priority="7203" operator="between">
      <formula>0.76</formula>
      <formula>0.95</formula>
    </cfRule>
    <cfRule type="cellIs" dxfId="7178" priority="7204" operator="between">
      <formula>0.51</formula>
      <formula>0.75</formula>
    </cfRule>
    <cfRule type="cellIs" dxfId="7177" priority="7205" operator="greaterThan">
      <formula>1</formula>
    </cfRule>
    <cfRule type="cellIs" dxfId="7176" priority="7206" operator="between">
      <formula>0.95</formula>
      <formula>1</formula>
    </cfRule>
    <cfRule type="cellIs" dxfId="7175" priority="7207" stopIfTrue="1" operator="between">
      <formula>0</formula>
      <formula>0.5</formula>
    </cfRule>
  </conditionalFormatting>
  <conditionalFormatting sqref="AF38">
    <cfRule type="cellIs" dxfId="7174" priority="7198" operator="between">
      <formula>0.76</formula>
      <formula>0.95</formula>
    </cfRule>
    <cfRule type="cellIs" dxfId="7173" priority="7199" operator="between">
      <formula>0.51</formula>
      <formula>0.75</formula>
    </cfRule>
    <cfRule type="cellIs" dxfId="7172" priority="7200" operator="greaterThan">
      <formula>1</formula>
    </cfRule>
    <cfRule type="cellIs" dxfId="7171" priority="7201" operator="between">
      <formula>0.95</formula>
      <formula>1</formula>
    </cfRule>
    <cfRule type="cellIs" dxfId="7170" priority="7202" stopIfTrue="1" operator="between">
      <formula>0</formula>
      <formula>0.5</formula>
    </cfRule>
  </conditionalFormatting>
  <conditionalFormatting sqref="AF39">
    <cfRule type="cellIs" dxfId="7169" priority="7193" operator="between">
      <formula>0.76</formula>
      <formula>0.95</formula>
    </cfRule>
    <cfRule type="cellIs" dxfId="7168" priority="7194" operator="between">
      <formula>0.51</formula>
      <formula>0.75</formula>
    </cfRule>
    <cfRule type="cellIs" dxfId="7167" priority="7195" operator="greaterThan">
      <formula>1</formula>
    </cfRule>
    <cfRule type="cellIs" dxfId="7166" priority="7196" operator="between">
      <formula>0.95</formula>
      <formula>1</formula>
    </cfRule>
    <cfRule type="cellIs" dxfId="7165" priority="7197" stopIfTrue="1" operator="between">
      <formula>0</formula>
      <formula>0.5</formula>
    </cfRule>
  </conditionalFormatting>
  <conditionalFormatting sqref="AF40">
    <cfRule type="cellIs" dxfId="7164" priority="7188" operator="between">
      <formula>0.76</formula>
      <formula>0.95</formula>
    </cfRule>
    <cfRule type="cellIs" dxfId="7163" priority="7189" operator="between">
      <formula>0.51</formula>
      <formula>0.75</formula>
    </cfRule>
    <cfRule type="cellIs" dxfId="7162" priority="7190" operator="greaterThan">
      <formula>1</formula>
    </cfRule>
    <cfRule type="cellIs" dxfId="7161" priority="7191" operator="between">
      <formula>0.95</formula>
      <formula>1</formula>
    </cfRule>
    <cfRule type="cellIs" dxfId="7160" priority="7192" stopIfTrue="1" operator="between">
      <formula>0</formula>
      <formula>0.5</formula>
    </cfRule>
  </conditionalFormatting>
  <conditionalFormatting sqref="AF41">
    <cfRule type="cellIs" dxfId="7159" priority="7183" operator="between">
      <formula>0.76</formula>
      <formula>0.95</formula>
    </cfRule>
    <cfRule type="cellIs" dxfId="7158" priority="7184" operator="between">
      <formula>0.51</formula>
      <formula>0.75</formula>
    </cfRule>
    <cfRule type="cellIs" dxfId="7157" priority="7185" operator="greaterThan">
      <formula>1</formula>
    </cfRule>
    <cfRule type="cellIs" dxfId="7156" priority="7186" operator="between">
      <formula>0.95</formula>
      <formula>1</formula>
    </cfRule>
    <cfRule type="cellIs" dxfId="7155" priority="7187" stopIfTrue="1" operator="between">
      <formula>0</formula>
      <formula>0.5</formula>
    </cfRule>
  </conditionalFormatting>
  <conditionalFormatting sqref="AF42">
    <cfRule type="cellIs" dxfId="7154" priority="7178" operator="between">
      <formula>0.76</formula>
      <formula>0.95</formula>
    </cfRule>
    <cfRule type="cellIs" dxfId="7153" priority="7179" operator="between">
      <formula>0.51</formula>
      <formula>0.75</formula>
    </cfRule>
    <cfRule type="cellIs" dxfId="7152" priority="7180" operator="greaterThan">
      <formula>1</formula>
    </cfRule>
    <cfRule type="cellIs" dxfId="7151" priority="7181" operator="between">
      <formula>0.95</formula>
      <formula>1</formula>
    </cfRule>
    <cfRule type="cellIs" dxfId="7150" priority="7182" stopIfTrue="1" operator="between">
      <formula>0</formula>
      <formula>0.5</formula>
    </cfRule>
  </conditionalFormatting>
  <conditionalFormatting sqref="AF43">
    <cfRule type="cellIs" dxfId="7149" priority="7173" operator="between">
      <formula>0.76</formula>
      <formula>0.95</formula>
    </cfRule>
    <cfRule type="cellIs" dxfId="7148" priority="7174" operator="between">
      <formula>0.51</formula>
      <formula>0.75</formula>
    </cfRule>
    <cfRule type="cellIs" dxfId="7147" priority="7175" operator="greaterThan">
      <formula>1</formula>
    </cfRule>
    <cfRule type="cellIs" dxfId="7146" priority="7176" operator="between">
      <formula>0.95</formula>
      <formula>1</formula>
    </cfRule>
    <cfRule type="cellIs" dxfId="7145" priority="7177" stopIfTrue="1" operator="between">
      <formula>0</formula>
      <formula>0.5</formula>
    </cfRule>
  </conditionalFormatting>
  <conditionalFormatting sqref="AF44">
    <cfRule type="cellIs" dxfId="7144" priority="7168" operator="between">
      <formula>0.76</formula>
      <formula>0.95</formula>
    </cfRule>
    <cfRule type="cellIs" dxfId="7143" priority="7169" operator="between">
      <formula>0.51</formula>
      <formula>0.75</formula>
    </cfRule>
    <cfRule type="cellIs" dxfId="7142" priority="7170" operator="greaterThan">
      <formula>1</formula>
    </cfRule>
    <cfRule type="cellIs" dxfId="7141" priority="7171" operator="between">
      <formula>0.95</formula>
      <formula>1</formula>
    </cfRule>
    <cfRule type="cellIs" dxfId="7140" priority="7172" stopIfTrue="1" operator="between">
      <formula>0</formula>
      <formula>0.5</formula>
    </cfRule>
  </conditionalFormatting>
  <conditionalFormatting sqref="AF45">
    <cfRule type="cellIs" dxfId="7139" priority="7163" operator="between">
      <formula>0.76</formula>
      <formula>0.95</formula>
    </cfRule>
    <cfRule type="cellIs" dxfId="7138" priority="7164" operator="between">
      <formula>0.51</formula>
      <formula>0.75</formula>
    </cfRule>
    <cfRule type="cellIs" dxfId="7137" priority="7165" operator="greaterThan">
      <formula>1</formula>
    </cfRule>
    <cfRule type="cellIs" dxfId="7136" priority="7166" operator="between">
      <formula>0.95</formula>
      <formula>1</formula>
    </cfRule>
    <cfRule type="cellIs" dxfId="7135" priority="7167" stopIfTrue="1" operator="between">
      <formula>0</formula>
      <formula>0.5</formula>
    </cfRule>
  </conditionalFormatting>
  <conditionalFormatting sqref="AF46">
    <cfRule type="cellIs" dxfId="7134" priority="7158" operator="between">
      <formula>0.76</formula>
      <formula>0.95</formula>
    </cfRule>
    <cfRule type="cellIs" dxfId="7133" priority="7159" operator="between">
      <formula>0.51</formula>
      <formula>0.75</formula>
    </cfRule>
    <cfRule type="cellIs" dxfId="7132" priority="7160" operator="greaterThan">
      <formula>1</formula>
    </cfRule>
    <cfRule type="cellIs" dxfId="7131" priority="7161" operator="between">
      <formula>0.95</formula>
      <formula>1</formula>
    </cfRule>
    <cfRule type="cellIs" dxfId="7130" priority="7162" stopIfTrue="1" operator="between">
      <formula>0</formula>
      <formula>0.5</formula>
    </cfRule>
  </conditionalFormatting>
  <conditionalFormatting sqref="AF47">
    <cfRule type="cellIs" dxfId="7129" priority="7153" operator="between">
      <formula>0.76</formula>
      <formula>0.95</formula>
    </cfRule>
    <cfRule type="cellIs" dxfId="7128" priority="7154" operator="between">
      <formula>0.51</formula>
      <formula>0.75</formula>
    </cfRule>
    <cfRule type="cellIs" dxfId="7127" priority="7155" operator="greaterThan">
      <formula>1</formula>
    </cfRule>
    <cfRule type="cellIs" dxfId="7126" priority="7156" operator="between">
      <formula>0.95</formula>
      <formula>1</formula>
    </cfRule>
    <cfRule type="cellIs" dxfId="7125" priority="7157" stopIfTrue="1" operator="between">
      <formula>0</formula>
      <formula>0.5</formula>
    </cfRule>
  </conditionalFormatting>
  <conditionalFormatting sqref="AF48">
    <cfRule type="cellIs" dxfId="7124" priority="7148" operator="between">
      <formula>0.76</formula>
      <formula>0.95</formula>
    </cfRule>
    <cfRule type="cellIs" dxfId="7123" priority="7149" operator="between">
      <formula>0.51</formula>
      <formula>0.75</formula>
    </cfRule>
    <cfRule type="cellIs" dxfId="7122" priority="7150" operator="greaterThan">
      <formula>1</formula>
    </cfRule>
    <cfRule type="cellIs" dxfId="7121" priority="7151" operator="between">
      <formula>0.95</formula>
      <formula>1</formula>
    </cfRule>
    <cfRule type="cellIs" dxfId="7120" priority="7152" stopIfTrue="1" operator="between">
      <formula>0</formula>
      <formula>0.5</formula>
    </cfRule>
  </conditionalFormatting>
  <conditionalFormatting sqref="AF49">
    <cfRule type="cellIs" dxfId="7119" priority="7143" operator="between">
      <formula>0.76</formula>
      <formula>0.95</formula>
    </cfRule>
    <cfRule type="cellIs" dxfId="7118" priority="7144" operator="between">
      <formula>0.51</formula>
      <formula>0.75</formula>
    </cfRule>
    <cfRule type="cellIs" dxfId="7117" priority="7145" operator="greaterThan">
      <formula>1</formula>
    </cfRule>
    <cfRule type="cellIs" dxfId="7116" priority="7146" operator="between">
      <formula>0.95</formula>
      <formula>1</formula>
    </cfRule>
    <cfRule type="cellIs" dxfId="7115" priority="7147" stopIfTrue="1" operator="between">
      <formula>0</formula>
      <formula>0.5</formula>
    </cfRule>
  </conditionalFormatting>
  <conditionalFormatting sqref="AF50">
    <cfRule type="cellIs" dxfId="7114" priority="7138" operator="between">
      <formula>0.76</formula>
      <formula>0.95</formula>
    </cfRule>
    <cfRule type="cellIs" dxfId="7113" priority="7139" operator="between">
      <formula>0.51</formula>
      <formula>0.75</formula>
    </cfRule>
    <cfRule type="cellIs" dxfId="7112" priority="7140" operator="greaterThan">
      <formula>1</formula>
    </cfRule>
    <cfRule type="cellIs" dxfId="7111" priority="7141" operator="between">
      <formula>0.95</formula>
      <formula>1</formula>
    </cfRule>
    <cfRule type="cellIs" dxfId="7110" priority="7142" stopIfTrue="1" operator="between">
      <formula>0</formula>
      <formula>0.5</formula>
    </cfRule>
  </conditionalFormatting>
  <conditionalFormatting sqref="AF51">
    <cfRule type="cellIs" dxfId="7109" priority="7133" operator="between">
      <formula>0.76</formula>
      <formula>0.95</formula>
    </cfRule>
    <cfRule type="cellIs" dxfId="7108" priority="7134" operator="between">
      <formula>0.51</formula>
      <formula>0.75</formula>
    </cfRule>
    <cfRule type="cellIs" dxfId="7107" priority="7135" operator="greaterThan">
      <formula>1</formula>
    </cfRule>
    <cfRule type="cellIs" dxfId="7106" priority="7136" operator="between">
      <formula>0.95</formula>
      <formula>1</formula>
    </cfRule>
    <cfRule type="cellIs" dxfId="7105" priority="7137" stopIfTrue="1" operator="between">
      <formula>0</formula>
      <formula>0.5</formula>
    </cfRule>
  </conditionalFormatting>
  <conditionalFormatting sqref="AF52">
    <cfRule type="cellIs" dxfId="7104" priority="7128" operator="between">
      <formula>0.76</formula>
      <formula>0.95</formula>
    </cfRule>
    <cfRule type="cellIs" dxfId="7103" priority="7129" operator="between">
      <formula>0.51</formula>
      <formula>0.75</formula>
    </cfRule>
    <cfRule type="cellIs" dxfId="7102" priority="7130" operator="greaterThan">
      <formula>1</formula>
    </cfRule>
    <cfRule type="cellIs" dxfId="7101" priority="7131" operator="between">
      <formula>0.95</formula>
      <formula>1</formula>
    </cfRule>
    <cfRule type="cellIs" dxfId="7100" priority="7132" stopIfTrue="1" operator="between">
      <formula>0</formula>
      <formula>0.5</formula>
    </cfRule>
  </conditionalFormatting>
  <conditionalFormatting sqref="AF53">
    <cfRule type="cellIs" dxfId="7099" priority="7123" operator="between">
      <formula>0.76</formula>
      <formula>0.95</formula>
    </cfRule>
    <cfRule type="cellIs" dxfId="7098" priority="7124" operator="between">
      <formula>0.51</formula>
      <formula>0.75</formula>
    </cfRule>
    <cfRule type="cellIs" dxfId="7097" priority="7125" operator="greaterThan">
      <formula>1</formula>
    </cfRule>
    <cfRule type="cellIs" dxfId="7096" priority="7126" operator="between">
      <formula>0.95</formula>
      <formula>1</formula>
    </cfRule>
    <cfRule type="cellIs" dxfId="7095" priority="7127" stopIfTrue="1" operator="between">
      <formula>0</formula>
      <formula>0.5</formula>
    </cfRule>
  </conditionalFormatting>
  <conditionalFormatting sqref="AF54">
    <cfRule type="cellIs" dxfId="7094" priority="7118" operator="between">
      <formula>0.76</formula>
      <formula>0.95</formula>
    </cfRule>
    <cfRule type="cellIs" dxfId="7093" priority="7119" operator="between">
      <formula>0.51</formula>
      <formula>0.75</formula>
    </cfRule>
    <cfRule type="cellIs" dxfId="7092" priority="7120" operator="greaterThan">
      <formula>1</formula>
    </cfRule>
    <cfRule type="cellIs" dxfId="7091" priority="7121" operator="between">
      <formula>0.95</formula>
      <formula>1</formula>
    </cfRule>
    <cfRule type="cellIs" dxfId="7090" priority="7122" stopIfTrue="1" operator="between">
      <formula>0</formula>
      <formula>0.5</formula>
    </cfRule>
  </conditionalFormatting>
  <conditionalFormatting sqref="AF55">
    <cfRule type="cellIs" dxfId="7089" priority="7113" operator="between">
      <formula>0.76</formula>
      <formula>0.95</formula>
    </cfRule>
    <cfRule type="cellIs" dxfId="7088" priority="7114" operator="between">
      <formula>0.51</formula>
      <formula>0.75</formula>
    </cfRule>
    <cfRule type="cellIs" dxfId="7087" priority="7115" operator="greaterThan">
      <formula>1</formula>
    </cfRule>
    <cfRule type="cellIs" dxfId="7086" priority="7116" operator="between">
      <formula>0.95</formula>
      <formula>1</formula>
    </cfRule>
    <cfRule type="cellIs" dxfId="7085" priority="7117" stopIfTrue="1" operator="between">
      <formula>0</formula>
      <formula>0.5</formula>
    </cfRule>
  </conditionalFormatting>
  <conditionalFormatting sqref="AF56">
    <cfRule type="cellIs" dxfId="7084" priority="7108" operator="between">
      <formula>0.76</formula>
      <formula>0.95</formula>
    </cfRule>
    <cfRule type="cellIs" dxfId="7083" priority="7109" operator="between">
      <formula>0.51</formula>
      <formula>0.75</formula>
    </cfRule>
    <cfRule type="cellIs" dxfId="7082" priority="7110" operator="greaterThan">
      <formula>1</formula>
    </cfRule>
    <cfRule type="cellIs" dxfId="7081" priority="7111" operator="between">
      <formula>0.95</formula>
      <formula>1</formula>
    </cfRule>
    <cfRule type="cellIs" dxfId="7080" priority="7112" stopIfTrue="1" operator="between">
      <formula>0</formula>
      <formula>0.5</formula>
    </cfRule>
  </conditionalFormatting>
  <conditionalFormatting sqref="AF57">
    <cfRule type="cellIs" dxfId="7079" priority="7103" operator="between">
      <formula>0.76</formula>
      <formula>0.95</formula>
    </cfRule>
    <cfRule type="cellIs" dxfId="7078" priority="7104" operator="between">
      <formula>0.51</formula>
      <formula>0.75</formula>
    </cfRule>
    <cfRule type="cellIs" dxfId="7077" priority="7105" operator="greaterThan">
      <formula>1</formula>
    </cfRule>
    <cfRule type="cellIs" dxfId="7076" priority="7106" operator="between">
      <formula>0.95</formula>
      <formula>1</formula>
    </cfRule>
    <cfRule type="cellIs" dxfId="7075" priority="7107" stopIfTrue="1" operator="between">
      <formula>0</formula>
      <formula>0.5</formula>
    </cfRule>
  </conditionalFormatting>
  <conditionalFormatting sqref="AF58">
    <cfRule type="cellIs" dxfId="7074" priority="7098" operator="between">
      <formula>0.76</formula>
      <formula>0.95</formula>
    </cfRule>
    <cfRule type="cellIs" dxfId="7073" priority="7099" operator="between">
      <formula>0.51</formula>
      <formula>0.75</formula>
    </cfRule>
    <cfRule type="cellIs" dxfId="7072" priority="7100" operator="greaterThan">
      <formula>1</formula>
    </cfRule>
    <cfRule type="cellIs" dxfId="7071" priority="7101" operator="between">
      <formula>0.95</formula>
      <formula>1</formula>
    </cfRule>
    <cfRule type="cellIs" dxfId="7070" priority="7102" stopIfTrue="1" operator="between">
      <formula>0</formula>
      <formula>0.5</formula>
    </cfRule>
  </conditionalFormatting>
  <conditionalFormatting sqref="AF59">
    <cfRule type="cellIs" dxfId="7069" priority="7088" operator="between">
      <formula>0.76</formula>
      <formula>0.95</formula>
    </cfRule>
    <cfRule type="cellIs" dxfId="7068" priority="7089" operator="between">
      <formula>0.51</formula>
      <formula>0.75</formula>
    </cfRule>
    <cfRule type="cellIs" dxfId="7067" priority="7090" operator="greaterThan">
      <formula>1</formula>
    </cfRule>
    <cfRule type="cellIs" dxfId="7066" priority="7091" operator="between">
      <formula>0.95</formula>
      <formula>1</formula>
    </cfRule>
    <cfRule type="cellIs" dxfId="7065" priority="7092" stopIfTrue="1" operator="between">
      <formula>0</formula>
      <formula>0.5</formula>
    </cfRule>
  </conditionalFormatting>
  <conditionalFormatting sqref="AF60">
    <cfRule type="cellIs" dxfId="7064" priority="7083" operator="between">
      <formula>0.76</formula>
      <formula>0.95</formula>
    </cfRule>
    <cfRule type="cellIs" dxfId="7063" priority="7084" operator="between">
      <formula>0.51</formula>
      <formula>0.75</formula>
    </cfRule>
    <cfRule type="cellIs" dxfId="7062" priority="7085" operator="greaterThan">
      <formula>1</formula>
    </cfRule>
    <cfRule type="cellIs" dxfId="7061" priority="7086" operator="between">
      <formula>0.95</formula>
      <formula>1</formula>
    </cfRule>
    <cfRule type="cellIs" dxfId="7060" priority="7087" stopIfTrue="1" operator="between">
      <formula>0</formula>
      <formula>0.5</formula>
    </cfRule>
  </conditionalFormatting>
  <conditionalFormatting sqref="AF61">
    <cfRule type="cellIs" dxfId="7059" priority="7078" operator="between">
      <formula>0.76</formula>
      <formula>0.95</formula>
    </cfRule>
    <cfRule type="cellIs" dxfId="7058" priority="7079" operator="between">
      <formula>0.51</formula>
      <formula>0.75</formula>
    </cfRule>
    <cfRule type="cellIs" dxfId="7057" priority="7080" operator="greaterThan">
      <formula>1</formula>
    </cfRule>
    <cfRule type="cellIs" dxfId="7056" priority="7081" operator="between">
      <formula>0.95</formula>
      <formula>1</formula>
    </cfRule>
    <cfRule type="cellIs" dxfId="7055" priority="7082" stopIfTrue="1" operator="between">
      <formula>0</formula>
      <formula>0.5</formula>
    </cfRule>
  </conditionalFormatting>
  <conditionalFormatting sqref="AF62">
    <cfRule type="cellIs" dxfId="7054" priority="7073" operator="between">
      <formula>0.76</formula>
      <formula>0.95</formula>
    </cfRule>
    <cfRule type="cellIs" dxfId="7053" priority="7074" operator="between">
      <formula>0.51</formula>
      <formula>0.75</formula>
    </cfRule>
    <cfRule type="cellIs" dxfId="7052" priority="7075" operator="greaterThan">
      <formula>1</formula>
    </cfRule>
    <cfRule type="cellIs" dxfId="7051" priority="7076" operator="between">
      <formula>0.95</formula>
      <formula>1</formula>
    </cfRule>
    <cfRule type="cellIs" dxfId="7050" priority="7077" stopIfTrue="1" operator="between">
      <formula>0</formula>
      <formula>0.5</formula>
    </cfRule>
  </conditionalFormatting>
  <conditionalFormatting sqref="AF64">
    <cfRule type="cellIs" dxfId="7049" priority="7068" operator="between">
      <formula>0.76</formula>
      <formula>0.95</formula>
    </cfRule>
    <cfRule type="cellIs" dxfId="7048" priority="7069" operator="between">
      <formula>0.51</formula>
      <formula>0.75</formula>
    </cfRule>
    <cfRule type="cellIs" dxfId="7047" priority="7070" operator="greaterThan">
      <formula>1</formula>
    </cfRule>
    <cfRule type="cellIs" dxfId="7046" priority="7071" operator="between">
      <formula>0.95</formula>
      <formula>1</formula>
    </cfRule>
    <cfRule type="cellIs" dxfId="7045" priority="7072" stopIfTrue="1" operator="between">
      <formula>0</formula>
      <formula>0.5</formula>
    </cfRule>
  </conditionalFormatting>
  <conditionalFormatting sqref="AF65">
    <cfRule type="cellIs" dxfId="7044" priority="7063" operator="between">
      <formula>0.76</formula>
      <formula>0.95</formula>
    </cfRule>
    <cfRule type="cellIs" dxfId="7043" priority="7064" operator="between">
      <formula>0.51</formula>
      <formula>0.75</formula>
    </cfRule>
    <cfRule type="cellIs" dxfId="7042" priority="7065" operator="greaterThan">
      <formula>1</formula>
    </cfRule>
    <cfRule type="cellIs" dxfId="7041" priority="7066" operator="between">
      <formula>0.95</formula>
      <formula>1</formula>
    </cfRule>
    <cfRule type="cellIs" dxfId="7040" priority="7067" stopIfTrue="1" operator="between">
      <formula>0</formula>
      <formula>0.5</formula>
    </cfRule>
  </conditionalFormatting>
  <conditionalFormatting sqref="AF66">
    <cfRule type="cellIs" dxfId="7039" priority="7058" operator="between">
      <formula>0.76</formula>
      <formula>0.95</formula>
    </cfRule>
    <cfRule type="cellIs" dxfId="7038" priority="7059" operator="between">
      <formula>0.51</formula>
      <formula>0.75</formula>
    </cfRule>
    <cfRule type="cellIs" dxfId="7037" priority="7060" operator="greaterThan">
      <formula>1</formula>
    </cfRule>
    <cfRule type="cellIs" dxfId="7036" priority="7061" operator="between">
      <formula>0.95</formula>
      <formula>1</formula>
    </cfRule>
    <cfRule type="cellIs" dxfId="7035" priority="7062" stopIfTrue="1" operator="between">
      <formula>0</formula>
      <formula>0.5</formula>
    </cfRule>
  </conditionalFormatting>
  <conditionalFormatting sqref="AF67">
    <cfRule type="cellIs" dxfId="7034" priority="7053" operator="between">
      <formula>0.76</formula>
      <formula>0.95</formula>
    </cfRule>
    <cfRule type="cellIs" dxfId="7033" priority="7054" operator="between">
      <formula>0.51</formula>
      <formula>0.75</formula>
    </cfRule>
    <cfRule type="cellIs" dxfId="7032" priority="7055" operator="greaterThan">
      <formula>1</formula>
    </cfRule>
    <cfRule type="cellIs" dxfId="7031" priority="7056" operator="between">
      <formula>0.95</formula>
      <formula>1</formula>
    </cfRule>
    <cfRule type="cellIs" dxfId="7030" priority="7057" stopIfTrue="1" operator="between">
      <formula>0</formula>
      <formula>0.5</formula>
    </cfRule>
  </conditionalFormatting>
  <conditionalFormatting sqref="AF68">
    <cfRule type="cellIs" dxfId="7029" priority="7048" operator="between">
      <formula>0.76</formula>
      <formula>0.95</formula>
    </cfRule>
    <cfRule type="cellIs" dxfId="7028" priority="7049" operator="between">
      <formula>0.51</formula>
      <formula>0.75</formula>
    </cfRule>
    <cfRule type="cellIs" dxfId="7027" priority="7050" operator="greaterThan">
      <formula>1</formula>
    </cfRule>
    <cfRule type="cellIs" dxfId="7026" priority="7051" operator="between">
      <formula>0.95</formula>
      <formula>1</formula>
    </cfRule>
    <cfRule type="cellIs" dxfId="7025" priority="7052" stopIfTrue="1" operator="between">
      <formula>0</formula>
      <formula>0.5</formula>
    </cfRule>
  </conditionalFormatting>
  <conditionalFormatting sqref="AF69">
    <cfRule type="cellIs" dxfId="7024" priority="7043" operator="between">
      <formula>0.76</formula>
      <formula>0.95</formula>
    </cfRule>
    <cfRule type="cellIs" dxfId="7023" priority="7044" operator="between">
      <formula>0.51</formula>
      <formula>0.75</formula>
    </cfRule>
    <cfRule type="cellIs" dxfId="7022" priority="7045" operator="greaterThan">
      <formula>1</formula>
    </cfRule>
    <cfRule type="cellIs" dxfId="7021" priority="7046" operator="between">
      <formula>0.95</formula>
      <formula>1</formula>
    </cfRule>
    <cfRule type="cellIs" dxfId="7020" priority="7047" stopIfTrue="1" operator="between">
      <formula>0</formula>
      <formula>0.5</formula>
    </cfRule>
  </conditionalFormatting>
  <conditionalFormatting sqref="AF70">
    <cfRule type="cellIs" dxfId="7019" priority="7038" operator="between">
      <formula>0.76</formula>
      <formula>0.95</formula>
    </cfRule>
    <cfRule type="cellIs" dxfId="7018" priority="7039" operator="between">
      <formula>0.51</formula>
      <formula>0.75</formula>
    </cfRule>
    <cfRule type="cellIs" dxfId="7017" priority="7040" operator="greaterThan">
      <formula>1</formula>
    </cfRule>
    <cfRule type="cellIs" dxfId="7016" priority="7041" operator="between">
      <formula>0.95</formula>
      <formula>1</formula>
    </cfRule>
    <cfRule type="cellIs" dxfId="7015" priority="7042" stopIfTrue="1" operator="between">
      <formula>0</formula>
      <formula>0.5</formula>
    </cfRule>
  </conditionalFormatting>
  <conditionalFormatting sqref="AF71">
    <cfRule type="cellIs" dxfId="7014" priority="7033" operator="between">
      <formula>0.76</formula>
      <formula>0.95</formula>
    </cfRule>
    <cfRule type="cellIs" dxfId="7013" priority="7034" operator="between">
      <formula>0.51</formula>
      <formula>0.75</formula>
    </cfRule>
    <cfRule type="cellIs" dxfId="7012" priority="7035" operator="greaterThan">
      <formula>1</formula>
    </cfRule>
    <cfRule type="cellIs" dxfId="7011" priority="7036" operator="between">
      <formula>0.95</formula>
      <formula>1</formula>
    </cfRule>
    <cfRule type="cellIs" dxfId="7010" priority="7037" stopIfTrue="1" operator="between">
      <formula>0</formula>
      <formula>0.5</formula>
    </cfRule>
  </conditionalFormatting>
  <conditionalFormatting sqref="AF72">
    <cfRule type="cellIs" dxfId="7009" priority="7028" operator="between">
      <formula>0.76</formula>
      <formula>0.95</formula>
    </cfRule>
    <cfRule type="cellIs" dxfId="7008" priority="7029" operator="between">
      <formula>0.51</formula>
      <formula>0.75</formula>
    </cfRule>
    <cfRule type="cellIs" dxfId="7007" priority="7030" operator="greaterThan">
      <formula>1</formula>
    </cfRule>
    <cfRule type="cellIs" dxfId="7006" priority="7031" operator="between">
      <formula>0.95</formula>
      <formula>1</formula>
    </cfRule>
    <cfRule type="cellIs" dxfId="7005" priority="7032" stopIfTrue="1" operator="between">
      <formula>0</formula>
      <formula>0.5</formula>
    </cfRule>
  </conditionalFormatting>
  <conditionalFormatting sqref="AF75">
    <cfRule type="cellIs" dxfId="7004" priority="7023" operator="between">
      <formula>0.76</formula>
      <formula>0.95</formula>
    </cfRule>
    <cfRule type="cellIs" dxfId="7003" priority="7024" operator="between">
      <formula>0.51</formula>
      <formula>0.75</formula>
    </cfRule>
    <cfRule type="cellIs" dxfId="7002" priority="7025" operator="greaterThan">
      <formula>1</formula>
    </cfRule>
    <cfRule type="cellIs" dxfId="7001" priority="7026" operator="between">
      <formula>0.95</formula>
      <formula>1</formula>
    </cfRule>
    <cfRule type="cellIs" dxfId="7000" priority="7027" stopIfTrue="1" operator="between">
      <formula>0</formula>
      <formula>0.5</formula>
    </cfRule>
  </conditionalFormatting>
  <conditionalFormatting sqref="AF76">
    <cfRule type="cellIs" dxfId="6999" priority="7018" operator="between">
      <formula>0.76</formula>
      <formula>0.95</formula>
    </cfRule>
    <cfRule type="cellIs" dxfId="6998" priority="7019" operator="between">
      <formula>0.51</formula>
      <formula>0.75</formula>
    </cfRule>
    <cfRule type="cellIs" dxfId="6997" priority="7020" operator="greaterThan">
      <formula>1</formula>
    </cfRule>
    <cfRule type="cellIs" dxfId="6996" priority="7021" operator="between">
      <formula>0.95</formula>
      <formula>1</formula>
    </cfRule>
    <cfRule type="cellIs" dxfId="6995" priority="7022" stopIfTrue="1" operator="between">
      <formula>0</formula>
      <formula>0.5</formula>
    </cfRule>
  </conditionalFormatting>
  <conditionalFormatting sqref="AF77">
    <cfRule type="cellIs" dxfId="6994" priority="7013" operator="between">
      <formula>0.76</formula>
      <formula>0.95</formula>
    </cfRule>
    <cfRule type="cellIs" dxfId="6993" priority="7014" operator="between">
      <formula>0.51</formula>
      <formula>0.75</formula>
    </cfRule>
    <cfRule type="cellIs" dxfId="6992" priority="7015" operator="greaterThan">
      <formula>1</formula>
    </cfRule>
    <cfRule type="cellIs" dxfId="6991" priority="7016" operator="between">
      <formula>0.95</formula>
      <formula>1</formula>
    </cfRule>
    <cfRule type="cellIs" dxfId="6990" priority="7017" stopIfTrue="1" operator="between">
      <formula>0</formula>
      <formula>0.5</formula>
    </cfRule>
  </conditionalFormatting>
  <conditionalFormatting sqref="AF78">
    <cfRule type="cellIs" dxfId="6989" priority="7008" operator="between">
      <formula>0.76</formula>
      <formula>0.95</formula>
    </cfRule>
    <cfRule type="cellIs" dxfId="6988" priority="7009" operator="between">
      <formula>0.51</formula>
      <formula>0.75</formula>
    </cfRule>
    <cfRule type="cellIs" dxfId="6987" priority="7010" operator="greaterThan">
      <formula>1</formula>
    </cfRule>
    <cfRule type="cellIs" dxfId="6986" priority="7011" operator="between">
      <formula>0.95</formula>
      <formula>1</formula>
    </cfRule>
    <cfRule type="cellIs" dxfId="6985" priority="7012" stopIfTrue="1" operator="between">
      <formula>0</formula>
      <formula>0.5</formula>
    </cfRule>
  </conditionalFormatting>
  <conditionalFormatting sqref="AF81">
    <cfRule type="cellIs" dxfId="6984" priority="7003" operator="between">
      <formula>0.76</formula>
      <formula>0.95</formula>
    </cfRule>
    <cfRule type="cellIs" dxfId="6983" priority="7004" operator="between">
      <formula>0.51</formula>
      <formula>0.75</formula>
    </cfRule>
    <cfRule type="cellIs" dxfId="6982" priority="7005" operator="greaterThan">
      <formula>1</formula>
    </cfRule>
    <cfRule type="cellIs" dxfId="6981" priority="7006" operator="between">
      <formula>0.95</formula>
      <formula>1</formula>
    </cfRule>
    <cfRule type="cellIs" dxfId="6980" priority="7007" stopIfTrue="1" operator="between">
      <formula>0</formula>
      <formula>0.5</formula>
    </cfRule>
  </conditionalFormatting>
  <conditionalFormatting sqref="AF82">
    <cfRule type="cellIs" dxfId="6979" priority="6998" operator="between">
      <formula>0.76</formula>
      <formula>0.95</formula>
    </cfRule>
    <cfRule type="cellIs" dxfId="6978" priority="6999" operator="between">
      <formula>0.51</formula>
      <formula>0.75</formula>
    </cfRule>
    <cfRule type="cellIs" dxfId="6977" priority="7000" operator="greaterThan">
      <formula>1</formula>
    </cfRule>
    <cfRule type="cellIs" dxfId="6976" priority="7001" operator="between">
      <formula>0.95</formula>
      <formula>1</formula>
    </cfRule>
    <cfRule type="cellIs" dxfId="6975" priority="7002" stopIfTrue="1" operator="between">
      <formula>0</formula>
      <formula>0.5</formula>
    </cfRule>
  </conditionalFormatting>
  <conditionalFormatting sqref="AF83">
    <cfRule type="cellIs" dxfId="6974" priority="6988" operator="between">
      <formula>0.76</formula>
      <formula>0.95</formula>
    </cfRule>
    <cfRule type="cellIs" dxfId="6973" priority="6989" operator="between">
      <formula>0.51</formula>
      <formula>0.75</formula>
    </cfRule>
    <cfRule type="cellIs" dxfId="6972" priority="6990" operator="greaterThan">
      <formula>1</formula>
    </cfRule>
    <cfRule type="cellIs" dxfId="6971" priority="6991" operator="between">
      <formula>0.95</formula>
      <formula>1</formula>
    </cfRule>
    <cfRule type="cellIs" dxfId="6970" priority="6992" stopIfTrue="1" operator="between">
      <formula>0</formula>
      <formula>0.5</formula>
    </cfRule>
  </conditionalFormatting>
  <conditionalFormatting sqref="AF84">
    <cfRule type="cellIs" dxfId="6969" priority="6983" operator="between">
      <formula>0.76</formula>
      <formula>0.95</formula>
    </cfRule>
    <cfRule type="cellIs" dxfId="6968" priority="6984" operator="between">
      <formula>0.51</formula>
      <formula>0.75</formula>
    </cfRule>
    <cfRule type="cellIs" dxfId="6967" priority="6985" operator="greaterThan">
      <formula>1</formula>
    </cfRule>
    <cfRule type="cellIs" dxfId="6966" priority="6986" operator="between">
      <formula>0.95</formula>
      <formula>1</formula>
    </cfRule>
    <cfRule type="cellIs" dxfId="6965" priority="6987" stopIfTrue="1" operator="between">
      <formula>0</formula>
      <formula>0.5</formula>
    </cfRule>
  </conditionalFormatting>
  <conditionalFormatting sqref="AF85">
    <cfRule type="cellIs" dxfId="6964" priority="6978" operator="between">
      <formula>0.76</formula>
      <formula>0.95</formula>
    </cfRule>
    <cfRule type="cellIs" dxfId="6963" priority="6979" operator="between">
      <formula>0.51</formula>
      <formula>0.75</formula>
    </cfRule>
    <cfRule type="cellIs" dxfId="6962" priority="6980" operator="greaterThan">
      <formula>1</formula>
    </cfRule>
    <cfRule type="cellIs" dxfId="6961" priority="6981" operator="between">
      <formula>0.95</formula>
      <formula>1</formula>
    </cfRule>
    <cfRule type="cellIs" dxfId="6960" priority="6982" stopIfTrue="1" operator="between">
      <formula>0</formula>
      <formula>0.5</formula>
    </cfRule>
  </conditionalFormatting>
  <conditionalFormatting sqref="AF86">
    <cfRule type="cellIs" dxfId="6959" priority="6973" operator="between">
      <formula>0.76</formula>
      <formula>0.95</formula>
    </cfRule>
    <cfRule type="cellIs" dxfId="6958" priority="6974" operator="between">
      <formula>0.51</formula>
      <formula>0.75</formula>
    </cfRule>
    <cfRule type="cellIs" dxfId="6957" priority="6975" operator="greaterThan">
      <formula>1</formula>
    </cfRule>
    <cfRule type="cellIs" dxfId="6956" priority="6976" operator="between">
      <formula>0.95</formula>
      <formula>1</formula>
    </cfRule>
    <cfRule type="cellIs" dxfId="6955" priority="6977" stopIfTrue="1" operator="between">
      <formula>0</formula>
      <formula>0.5</formula>
    </cfRule>
  </conditionalFormatting>
  <conditionalFormatting sqref="AF91">
    <cfRule type="cellIs" dxfId="6954" priority="6968" operator="between">
      <formula>0.76</formula>
      <formula>0.95</formula>
    </cfRule>
    <cfRule type="cellIs" dxfId="6953" priority="6969" operator="between">
      <formula>0.51</formula>
      <formula>0.75</formula>
    </cfRule>
    <cfRule type="cellIs" dxfId="6952" priority="6970" operator="greaterThan">
      <formula>1</formula>
    </cfRule>
    <cfRule type="cellIs" dxfId="6951" priority="6971" operator="between">
      <formula>0.95</formula>
      <formula>1</formula>
    </cfRule>
    <cfRule type="cellIs" dxfId="6950" priority="6972" stopIfTrue="1" operator="between">
      <formula>0</formula>
      <formula>0.5</formula>
    </cfRule>
  </conditionalFormatting>
  <conditionalFormatting sqref="AF94">
    <cfRule type="cellIs" dxfId="6949" priority="6963" operator="between">
      <formula>0.76</formula>
      <formula>0.95</formula>
    </cfRule>
    <cfRule type="cellIs" dxfId="6948" priority="6964" operator="between">
      <formula>0.51</formula>
      <formula>0.75</formula>
    </cfRule>
    <cfRule type="cellIs" dxfId="6947" priority="6965" operator="greaterThan">
      <formula>1</formula>
    </cfRule>
    <cfRule type="cellIs" dxfId="6946" priority="6966" operator="between">
      <formula>0.95</formula>
      <formula>1</formula>
    </cfRule>
    <cfRule type="cellIs" dxfId="6945" priority="6967" stopIfTrue="1" operator="between">
      <formula>0</formula>
      <formula>0.5</formula>
    </cfRule>
  </conditionalFormatting>
  <conditionalFormatting sqref="AF95">
    <cfRule type="cellIs" dxfId="6944" priority="6958" operator="between">
      <formula>0.76</formula>
      <formula>0.95</formula>
    </cfRule>
    <cfRule type="cellIs" dxfId="6943" priority="6959" operator="between">
      <formula>0.51</formula>
      <formula>0.75</formula>
    </cfRule>
    <cfRule type="cellIs" dxfId="6942" priority="6960" operator="greaterThan">
      <formula>1</formula>
    </cfRule>
    <cfRule type="cellIs" dxfId="6941" priority="6961" operator="between">
      <formula>0.95</formula>
      <formula>1</formula>
    </cfRule>
    <cfRule type="cellIs" dxfId="6940" priority="6962" stopIfTrue="1" operator="between">
      <formula>0</formula>
      <formula>0.5</formula>
    </cfRule>
  </conditionalFormatting>
  <conditionalFormatting sqref="AF96">
    <cfRule type="cellIs" dxfId="6939" priority="6953" operator="between">
      <formula>0.76</formula>
      <formula>0.95</formula>
    </cfRule>
    <cfRule type="cellIs" dxfId="6938" priority="6954" operator="between">
      <formula>0.51</formula>
      <formula>0.75</formula>
    </cfRule>
    <cfRule type="cellIs" dxfId="6937" priority="6955" operator="greaterThan">
      <formula>1</formula>
    </cfRule>
    <cfRule type="cellIs" dxfId="6936" priority="6956" operator="between">
      <formula>0.95</formula>
      <formula>1</formula>
    </cfRule>
    <cfRule type="cellIs" dxfId="6935" priority="6957" stopIfTrue="1" operator="between">
      <formula>0</formula>
      <formula>0.5</formula>
    </cfRule>
  </conditionalFormatting>
  <conditionalFormatting sqref="AF97">
    <cfRule type="cellIs" dxfId="6934" priority="6948" operator="between">
      <formula>0.76</formula>
      <formula>0.95</formula>
    </cfRule>
    <cfRule type="cellIs" dxfId="6933" priority="6949" operator="between">
      <formula>0.51</formula>
      <formula>0.75</formula>
    </cfRule>
    <cfRule type="cellIs" dxfId="6932" priority="6950" operator="greaterThan">
      <formula>1</formula>
    </cfRule>
    <cfRule type="cellIs" dxfId="6931" priority="6951" operator="between">
      <formula>0.95</formula>
      <formula>1</formula>
    </cfRule>
    <cfRule type="cellIs" dxfId="6930" priority="6952" stopIfTrue="1" operator="between">
      <formula>0</formula>
      <formula>0.5</formula>
    </cfRule>
  </conditionalFormatting>
  <conditionalFormatting sqref="AF98">
    <cfRule type="cellIs" dxfId="6929" priority="6943" operator="between">
      <formula>0.76</formula>
      <formula>0.95</formula>
    </cfRule>
    <cfRule type="cellIs" dxfId="6928" priority="6944" operator="between">
      <formula>0.51</formula>
      <formula>0.75</formula>
    </cfRule>
    <cfRule type="cellIs" dxfId="6927" priority="6945" operator="greaterThan">
      <formula>1</formula>
    </cfRule>
    <cfRule type="cellIs" dxfId="6926" priority="6946" operator="between">
      <formula>0.95</formula>
      <formula>1</formula>
    </cfRule>
    <cfRule type="cellIs" dxfId="6925" priority="6947" stopIfTrue="1" operator="between">
      <formula>0</formula>
      <formula>0.5</formula>
    </cfRule>
  </conditionalFormatting>
  <conditionalFormatting sqref="AF99">
    <cfRule type="cellIs" dxfId="6924" priority="6938" operator="between">
      <formula>0.76</formula>
      <formula>0.95</formula>
    </cfRule>
    <cfRule type="cellIs" dxfId="6923" priority="6939" operator="between">
      <formula>0.51</formula>
      <formula>0.75</formula>
    </cfRule>
    <cfRule type="cellIs" dxfId="6922" priority="6940" operator="greaterThan">
      <formula>1</formula>
    </cfRule>
    <cfRule type="cellIs" dxfId="6921" priority="6941" operator="between">
      <formula>0.95</formula>
      <formula>1</formula>
    </cfRule>
    <cfRule type="cellIs" dxfId="6920" priority="6942" stopIfTrue="1" operator="between">
      <formula>0</formula>
      <formula>0.5</formula>
    </cfRule>
  </conditionalFormatting>
  <conditionalFormatting sqref="AF101">
    <cfRule type="cellIs" dxfId="6919" priority="6933" operator="between">
      <formula>0.76</formula>
      <formula>0.95</formula>
    </cfRule>
    <cfRule type="cellIs" dxfId="6918" priority="6934" operator="between">
      <formula>0.51</formula>
      <formula>0.75</formula>
    </cfRule>
    <cfRule type="cellIs" dxfId="6917" priority="6935" operator="greaterThan">
      <formula>1</formula>
    </cfRule>
    <cfRule type="cellIs" dxfId="6916" priority="6936" operator="between">
      <formula>0.95</formula>
      <formula>1</formula>
    </cfRule>
    <cfRule type="cellIs" dxfId="6915" priority="6937" stopIfTrue="1" operator="between">
      <formula>0</formula>
      <formula>0.5</formula>
    </cfRule>
  </conditionalFormatting>
  <conditionalFormatting sqref="AF102">
    <cfRule type="cellIs" dxfId="6914" priority="6923" operator="between">
      <formula>0.76</formula>
      <formula>0.95</formula>
    </cfRule>
    <cfRule type="cellIs" dxfId="6913" priority="6924" operator="between">
      <formula>0.51</formula>
      <formula>0.75</formula>
    </cfRule>
    <cfRule type="cellIs" dxfId="6912" priority="6925" operator="greaterThan">
      <formula>1</formula>
    </cfRule>
    <cfRule type="cellIs" dxfId="6911" priority="6926" operator="between">
      <formula>0.95</formula>
      <formula>1</formula>
    </cfRule>
    <cfRule type="cellIs" dxfId="6910" priority="6927" stopIfTrue="1" operator="between">
      <formula>0</formula>
      <formula>0.5</formula>
    </cfRule>
  </conditionalFormatting>
  <conditionalFormatting sqref="AF104">
    <cfRule type="cellIs" dxfId="6909" priority="6913" operator="between">
      <formula>0.76</formula>
      <formula>0.95</formula>
    </cfRule>
    <cfRule type="cellIs" dxfId="6908" priority="6914" operator="between">
      <formula>0.51</formula>
      <formula>0.75</formula>
    </cfRule>
    <cfRule type="cellIs" dxfId="6907" priority="6915" operator="greaterThan">
      <formula>1</formula>
    </cfRule>
    <cfRule type="cellIs" dxfId="6906" priority="6916" operator="between">
      <formula>0.95</formula>
      <formula>1</formula>
    </cfRule>
    <cfRule type="cellIs" dxfId="6905" priority="6917" stopIfTrue="1" operator="between">
      <formula>0</formula>
      <formula>0.5</formula>
    </cfRule>
  </conditionalFormatting>
  <conditionalFormatting sqref="AF106">
    <cfRule type="cellIs" dxfId="6904" priority="6903" operator="between">
      <formula>0.76</formula>
      <formula>0.95</formula>
    </cfRule>
    <cfRule type="cellIs" dxfId="6903" priority="6904" operator="between">
      <formula>0.51</formula>
      <formula>0.75</formula>
    </cfRule>
    <cfRule type="cellIs" dxfId="6902" priority="6905" operator="greaterThan">
      <formula>1</formula>
    </cfRule>
    <cfRule type="cellIs" dxfId="6901" priority="6906" operator="between">
      <formula>0.95</formula>
      <formula>1</formula>
    </cfRule>
    <cfRule type="cellIs" dxfId="6900" priority="6907" stopIfTrue="1" operator="between">
      <formula>0</formula>
      <formula>0.5</formula>
    </cfRule>
  </conditionalFormatting>
  <conditionalFormatting sqref="AF108">
    <cfRule type="cellIs" dxfId="6899" priority="6893" operator="between">
      <formula>0.76</formula>
      <formula>0.95</formula>
    </cfRule>
    <cfRule type="cellIs" dxfId="6898" priority="6894" operator="between">
      <formula>0.51</formula>
      <formula>0.75</formula>
    </cfRule>
    <cfRule type="cellIs" dxfId="6897" priority="6895" operator="greaterThan">
      <formula>1</formula>
    </cfRule>
    <cfRule type="cellIs" dxfId="6896" priority="6896" operator="between">
      <formula>0.95</formula>
      <formula>1</formula>
    </cfRule>
    <cfRule type="cellIs" dxfId="6895" priority="6897" stopIfTrue="1" operator="between">
      <formula>0</formula>
      <formula>0.5</formula>
    </cfRule>
  </conditionalFormatting>
  <conditionalFormatting sqref="AF109">
    <cfRule type="cellIs" dxfId="6894" priority="6888" operator="between">
      <formula>0.76</formula>
      <formula>0.95</formula>
    </cfRule>
    <cfRule type="cellIs" dxfId="6893" priority="6889" operator="between">
      <formula>0.51</formula>
      <formula>0.75</formula>
    </cfRule>
    <cfRule type="cellIs" dxfId="6892" priority="6890" operator="greaterThan">
      <formula>1</formula>
    </cfRule>
    <cfRule type="cellIs" dxfId="6891" priority="6891" operator="between">
      <formula>0.95</formula>
      <formula>1</formula>
    </cfRule>
    <cfRule type="cellIs" dxfId="6890" priority="6892" stopIfTrue="1" operator="between">
      <formula>0</formula>
      <formula>0.5</formula>
    </cfRule>
  </conditionalFormatting>
  <conditionalFormatting sqref="AF110">
    <cfRule type="cellIs" dxfId="6889" priority="6883" operator="between">
      <formula>0.76</formula>
      <formula>0.95</formula>
    </cfRule>
    <cfRule type="cellIs" dxfId="6888" priority="6884" operator="between">
      <formula>0.51</formula>
      <formula>0.75</formula>
    </cfRule>
    <cfRule type="cellIs" dxfId="6887" priority="6885" operator="greaterThan">
      <formula>1</formula>
    </cfRule>
    <cfRule type="cellIs" dxfId="6886" priority="6886" operator="between">
      <formula>0.95</formula>
      <formula>1</formula>
    </cfRule>
    <cfRule type="cellIs" dxfId="6885" priority="6887" stopIfTrue="1" operator="between">
      <formula>0</formula>
      <formula>0.5</formula>
    </cfRule>
  </conditionalFormatting>
  <conditionalFormatting sqref="AF111">
    <cfRule type="cellIs" dxfId="6884" priority="6878" operator="between">
      <formula>0.76</formula>
      <formula>0.95</formula>
    </cfRule>
    <cfRule type="cellIs" dxfId="6883" priority="6879" operator="between">
      <formula>0.51</formula>
      <formula>0.75</formula>
    </cfRule>
    <cfRule type="cellIs" dxfId="6882" priority="6880" operator="greaterThan">
      <formula>1</formula>
    </cfRule>
    <cfRule type="cellIs" dxfId="6881" priority="6881" operator="between">
      <formula>0.95</formula>
      <formula>1</formula>
    </cfRule>
    <cfRule type="cellIs" dxfId="6880" priority="6882" stopIfTrue="1" operator="between">
      <formula>0</formula>
      <formula>0.5</formula>
    </cfRule>
  </conditionalFormatting>
  <conditionalFormatting sqref="AF112">
    <cfRule type="cellIs" dxfId="6879" priority="6873" operator="between">
      <formula>0.76</formula>
      <formula>0.95</formula>
    </cfRule>
    <cfRule type="cellIs" dxfId="6878" priority="6874" operator="between">
      <formula>0.51</formula>
      <formula>0.75</formula>
    </cfRule>
    <cfRule type="cellIs" dxfId="6877" priority="6875" operator="greaterThan">
      <formula>1</formula>
    </cfRule>
    <cfRule type="cellIs" dxfId="6876" priority="6876" operator="between">
      <formula>0.95</formula>
      <formula>1</formula>
    </cfRule>
    <cfRule type="cellIs" dxfId="6875" priority="6877" stopIfTrue="1" operator="between">
      <formula>0</formula>
      <formula>0.5</formula>
    </cfRule>
  </conditionalFormatting>
  <conditionalFormatting sqref="AF114">
    <cfRule type="cellIs" dxfId="6874" priority="6868" operator="between">
      <formula>0.76</formula>
      <formula>0.95</formula>
    </cfRule>
    <cfRule type="cellIs" dxfId="6873" priority="6869" operator="between">
      <formula>0.51</formula>
      <formula>0.75</formula>
    </cfRule>
    <cfRule type="cellIs" dxfId="6872" priority="6870" operator="greaterThan">
      <formula>1</formula>
    </cfRule>
    <cfRule type="cellIs" dxfId="6871" priority="6871" operator="between">
      <formula>0.95</formula>
      <formula>1</formula>
    </cfRule>
    <cfRule type="cellIs" dxfId="6870" priority="6872" stopIfTrue="1" operator="between">
      <formula>0</formula>
      <formula>0.5</formula>
    </cfRule>
  </conditionalFormatting>
  <conditionalFormatting sqref="AF116">
    <cfRule type="cellIs" dxfId="6869" priority="6858" operator="between">
      <formula>0.76</formula>
      <formula>0.95</formula>
    </cfRule>
    <cfRule type="cellIs" dxfId="6868" priority="6859" operator="between">
      <formula>0.51</formula>
      <formula>0.75</formula>
    </cfRule>
    <cfRule type="cellIs" dxfId="6867" priority="6860" operator="greaterThan">
      <formula>1</formula>
    </cfRule>
    <cfRule type="cellIs" dxfId="6866" priority="6861" operator="between">
      <formula>0.95</formula>
      <formula>1</formula>
    </cfRule>
    <cfRule type="cellIs" dxfId="6865" priority="6862" stopIfTrue="1" operator="between">
      <formula>0</formula>
      <formula>0.5</formula>
    </cfRule>
  </conditionalFormatting>
  <conditionalFormatting sqref="AF117">
    <cfRule type="cellIs" dxfId="6864" priority="6848" operator="between">
      <formula>0.76</formula>
      <formula>0.95</formula>
    </cfRule>
    <cfRule type="cellIs" dxfId="6863" priority="6849" operator="between">
      <formula>0.51</formula>
      <formula>0.75</formula>
    </cfRule>
    <cfRule type="cellIs" dxfId="6862" priority="6850" operator="greaterThan">
      <formula>1</formula>
    </cfRule>
    <cfRule type="cellIs" dxfId="6861" priority="6851" operator="between">
      <formula>0.95</formula>
      <formula>1</formula>
    </cfRule>
    <cfRule type="cellIs" dxfId="6860" priority="6852" stopIfTrue="1" operator="between">
      <formula>0</formula>
      <formula>0.5</formula>
    </cfRule>
  </conditionalFormatting>
  <conditionalFormatting sqref="AF115">
    <cfRule type="cellIs" dxfId="6859" priority="6843" operator="between">
      <formula>0.76</formula>
      <formula>0.95</formula>
    </cfRule>
    <cfRule type="cellIs" dxfId="6858" priority="6844" operator="between">
      <formula>0.51</formula>
      <formula>0.75</formula>
    </cfRule>
    <cfRule type="cellIs" dxfId="6857" priority="6845" operator="greaterThan">
      <formula>1</formula>
    </cfRule>
    <cfRule type="cellIs" dxfId="6856" priority="6846" operator="between">
      <formula>0.95</formula>
      <formula>1</formula>
    </cfRule>
    <cfRule type="cellIs" dxfId="6855" priority="6847" stopIfTrue="1" operator="between">
      <formula>0</formula>
      <formula>0.5</formula>
    </cfRule>
  </conditionalFormatting>
  <conditionalFormatting sqref="AF121">
    <cfRule type="cellIs" dxfId="6854" priority="6838" operator="between">
      <formula>0.76</formula>
      <formula>0.95</formula>
    </cfRule>
    <cfRule type="cellIs" dxfId="6853" priority="6839" operator="between">
      <formula>0.51</formula>
      <formula>0.75</formula>
    </cfRule>
    <cfRule type="cellIs" dxfId="6852" priority="6840" operator="greaterThan">
      <formula>1</formula>
    </cfRule>
    <cfRule type="cellIs" dxfId="6851" priority="6841" operator="between">
      <formula>0.95</formula>
      <formula>1</formula>
    </cfRule>
    <cfRule type="cellIs" dxfId="6850" priority="6842" stopIfTrue="1" operator="between">
      <formula>0</formula>
      <formula>0.5</formula>
    </cfRule>
  </conditionalFormatting>
  <conditionalFormatting sqref="AF122">
    <cfRule type="cellIs" dxfId="6849" priority="6833" operator="between">
      <formula>0.76</formula>
      <formula>0.95</formula>
    </cfRule>
    <cfRule type="cellIs" dxfId="6848" priority="6834" operator="between">
      <formula>0.51</formula>
      <formula>0.75</formula>
    </cfRule>
    <cfRule type="cellIs" dxfId="6847" priority="6835" operator="greaterThan">
      <formula>1</formula>
    </cfRule>
    <cfRule type="cellIs" dxfId="6846" priority="6836" operator="between">
      <formula>0.95</formula>
      <formula>1</formula>
    </cfRule>
    <cfRule type="cellIs" dxfId="6845" priority="6837" stopIfTrue="1" operator="between">
      <formula>0</formula>
      <formula>0.5</formula>
    </cfRule>
  </conditionalFormatting>
  <conditionalFormatting sqref="AF123">
    <cfRule type="cellIs" dxfId="6844" priority="6828" operator="between">
      <formula>0.76</formula>
      <formula>0.95</formula>
    </cfRule>
    <cfRule type="cellIs" dxfId="6843" priority="6829" operator="between">
      <formula>0.51</formula>
      <formula>0.75</formula>
    </cfRule>
    <cfRule type="cellIs" dxfId="6842" priority="6830" operator="greaterThan">
      <formula>1</formula>
    </cfRule>
    <cfRule type="cellIs" dxfId="6841" priority="6831" operator="between">
      <formula>0.95</formula>
      <formula>1</formula>
    </cfRule>
    <cfRule type="cellIs" dxfId="6840" priority="6832" stopIfTrue="1" operator="between">
      <formula>0</formula>
      <formula>0.5</formula>
    </cfRule>
  </conditionalFormatting>
  <conditionalFormatting sqref="AF124">
    <cfRule type="cellIs" dxfId="6839" priority="6823" operator="between">
      <formula>0.76</formula>
      <formula>0.95</formula>
    </cfRule>
    <cfRule type="cellIs" dxfId="6838" priority="6824" operator="between">
      <formula>0.51</formula>
      <formula>0.75</formula>
    </cfRule>
    <cfRule type="cellIs" dxfId="6837" priority="6825" operator="greaterThan">
      <formula>1</formula>
    </cfRule>
    <cfRule type="cellIs" dxfId="6836" priority="6826" operator="between">
      <formula>0.95</formula>
      <formula>1</formula>
    </cfRule>
    <cfRule type="cellIs" dxfId="6835" priority="6827" stopIfTrue="1" operator="between">
      <formula>0</formula>
      <formula>0.5</formula>
    </cfRule>
  </conditionalFormatting>
  <conditionalFormatting sqref="AF125">
    <cfRule type="cellIs" dxfId="6834" priority="6818" operator="between">
      <formula>0.76</formula>
      <formula>0.95</formula>
    </cfRule>
    <cfRule type="cellIs" dxfId="6833" priority="6819" operator="between">
      <formula>0.51</formula>
      <formula>0.75</formula>
    </cfRule>
    <cfRule type="cellIs" dxfId="6832" priority="6820" operator="greaterThan">
      <formula>1</formula>
    </cfRule>
    <cfRule type="cellIs" dxfId="6831" priority="6821" operator="between">
      <formula>0.95</formula>
      <formula>1</formula>
    </cfRule>
    <cfRule type="cellIs" dxfId="6830" priority="6822" stopIfTrue="1" operator="between">
      <formula>0</formula>
      <formula>0.5</formula>
    </cfRule>
  </conditionalFormatting>
  <conditionalFormatting sqref="AF126">
    <cfRule type="cellIs" dxfId="6829" priority="6813" operator="between">
      <formula>0.76</formula>
      <formula>0.95</formula>
    </cfRule>
    <cfRule type="cellIs" dxfId="6828" priority="6814" operator="between">
      <formula>0.51</formula>
      <formula>0.75</formula>
    </cfRule>
    <cfRule type="cellIs" dxfId="6827" priority="6815" operator="greaterThan">
      <formula>1</formula>
    </cfRule>
    <cfRule type="cellIs" dxfId="6826" priority="6816" operator="between">
      <formula>0.95</formula>
      <formula>1</formula>
    </cfRule>
    <cfRule type="cellIs" dxfId="6825" priority="6817" stopIfTrue="1" operator="between">
      <formula>0</formula>
      <formula>0.5</formula>
    </cfRule>
  </conditionalFormatting>
  <conditionalFormatting sqref="AF127">
    <cfRule type="cellIs" dxfId="6824" priority="6808" operator="between">
      <formula>0.76</formula>
      <formula>0.95</formula>
    </cfRule>
    <cfRule type="cellIs" dxfId="6823" priority="6809" operator="between">
      <formula>0.51</formula>
      <formula>0.75</formula>
    </cfRule>
    <cfRule type="cellIs" dxfId="6822" priority="6810" operator="greaterThan">
      <formula>1</formula>
    </cfRule>
    <cfRule type="cellIs" dxfId="6821" priority="6811" operator="between">
      <formula>0.95</formula>
      <formula>1</formula>
    </cfRule>
    <cfRule type="cellIs" dxfId="6820" priority="6812" stopIfTrue="1" operator="between">
      <formula>0</formula>
      <formula>0.5</formula>
    </cfRule>
  </conditionalFormatting>
  <conditionalFormatting sqref="AF128">
    <cfRule type="cellIs" dxfId="6819" priority="6803" operator="between">
      <formula>0.76</formula>
      <formula>0.95</formula>
    </cfRule>
    <cfRule type="cellIs" dxfId="6818" priority="6804" operator="between">
      <formula>0.51</formula>
      <formula>0.75</formula>
    </cfRule>
    <cfRule type="cellIs" dxfId="6817" priority="6805" operator="greaterThan">
      <formula>1</formula>
    </cfRule>
    <cfRule type="cellIs" dxfId="6816" priority="6806" operator="between">
      <formula>0.95</formula>
      <formula>1</formula>
    </cfRule>
    <cfRule type="cellIs" dxfId="6815" priority="6807" stopIfTrue="1" operator="between">
      <formula>0</formula>
      <formula>0.5</formula>
    </cfRule>
  </conditionalFormatting>
  <conditionalFormatting sqref="AF129">
    <cfRule type="cellIs" dxfId="6814" priority="6798" operator="between">
      <formula>0.76</formula>
      <formula>0.95</formula>
    </cfRule>
    <cfRule type="cellIs" dxfId="6813" priority="6799" operator="between">
      <formula>0.51</formula>
      <formula>0.75</formula>
    </cfRule>
    <cfRule type="cellIs" dxfId="6812" priority="6800" operator="greaterThan">
      <formula>1</formula>
    </cfRule>
    <cfRule type="cellIs" dxfId="6811" priority="6801" operator="between">
      <formula>0.95</formula>
      <formula>1</formula>
    </cfRule>
    <cfRule type="cellIs" dxfId="6810" priority="6802" stopIfTrue="1" operator="between">
      <formula>0</formula>
      <formula>0.5</formula>
    </cfRule>
  </conditionalFormatting>
  <conditionalFormatting sqref="AF130">
    <cfRule type="cellIs" dxfId="6809" priority="6793" operator="between">
      <formula>0.76</formula>
      <formula>0.95</formula>
    </cfRule>
    <cfRule type="cellIs" dxfId="6808" priority="6794" operator="between">
      <formula>0.51</formula>
      <formula>0.75</formula>
    </cfRule>
    <cfRule type="cellIs" dxfId="6807" priority="6795" operator="greaterThan">
      <formula>1</formula>
    </cfRule>
    <cfRule type="cellIs" dxfId="6806" priority="6796" operator="between">
      <formula>0.95</formula>
      <formula>1</formula>
    </cfRule>
    <cfRule type="cellIs" dxfId="6805" priority="6797" stopIfTrue="1" operator="between">
      <formula>0</formula>
      <formula>0.5</formula>
    </cfRule>
  </conditionalFormatting>
  <conditionalFormatting sqref="AF131">
    <cfRule type="cellIs" dxfId="6804" priority="6788" operator="between">
      <formula>0.76</formula>
      <formula>0.95</formula>
    </cfRule>
    <cfRule type="cellIs" dxfId="6803" priority="6789" operator="between">
      <formula>0.51</formula>
      <formula>0.75</formula>
    </cfRule>
    <cfRule type="cellIs" dxfId="6802" priority="6790" operator="greaterThan">
      <formula>1</formula>
    </cfRule>
    <cfRule type="cellIs" dxfId="6801" priority="6791" operator="between">
      <formula>0.95</formula>
      <formula>1</formula>
    </cfRule>
    <cfRule type="cellIs" dxfId="6800" priority="6792" stopIfTrue="1" operator="between">
      <formula>0</formula>
      <formula>0.5</formula>
    </cfRule>
  </conditionalFormatting>
  <conditionalFormatting sqref="AF132">
    <cfRule type="cellIs" dxfId="6799" priority="6783" operator="between">
      <formula>0.76</formula>
      <formula>0.95</formula>
    </cfRule>
    <cfRule type="cellIs" dxfId="6798" priority="6784" operator="between">
      <formula>0.51</formula>
      <formula>0.75</formula>
    </cfRule>
    <cfRule type="cellIs" dxfId="6797" priority="6785" operator="greaterThan">
      <formula>1</formula>
    </cfRule>
    <cfRule type="cellIs" dxfId="6796" priority="6786" operator="between">
      <formula>0.95</formula>
      <formula>1</formula>
    </cfRule>
    <cfRule type="cellIs" dxfId="6795" priority="6787" stopIfTrue="1" operator="between">
      <formula>0</formula>
      <formula>0.5</formula>
    </cfRule>
  </conditionalFormatting>
  <conditionalFormatting sqref="AF133">
    <cfRule type="cellIs" dxfId="6794" priority="6778" operator="between">
      <formula>0.76</formula>
      <formula>0.95</formula>
    </cfRule>
    <cfRule type="cellIs" dxfId="6793" priority="6779" operator="between">
      <formula>0.51</formula>
      <formula>0.75</formula>
    </cfRule>
    <cfRule type="cellIs" dxfId="6792" priority="6780" operator="greaterThan">
      <formula>1</formula>
    </cfRule>
    <cfRule type="cellIs" dxfId="6791" priority="6781" operator="between">
      <formula>0.95</formula>
      <formula>1</formula>
    </cfRule>
    <cfRule type="cellIs" dxfId="6790" priority="6782" stopIfTrue="1" operator="between">
      <formula>0</formula>
      <formula>0.5</formula>
    </cfRule>
  </conditionalFormatting>
  <conditionalFormatting sqref="AF135">
    <cfRule type="cellIs" dxfId="6789" priority="6773" operator="between">
      <formula>0.76</formula>
      <formula>0.95</formula>
    </cfRule>
    <cfRule type="cellIs" dxfId="6788" priority="6774" operator="between">
      <formula>0.51</formula>
      <formula>0.75</formula>
    </cfRule>
    <cfRule type="cellIs" dxfId="6787" priority="6775" operator="greaterThan">
      <formula>1</formula>
    </cfRule>
    <cfRule type="cellIs" dxfId="6786" priority="6776" operator="between">
      <formula>0.95</formula>
      <formula>1</formula>
    </cfRule>
    <cfRule type="cellIs" dxfId="6785" priority="6777" stopIfTrue="1" operator="between">
      <formula>0</formula>
      <formula>0.5</formula>
    </cfRule>
  </conditionalFormatting>
  <conditionalFormatting sqref="AF136">
    <cfRule type="cellIs" dxfId="6784" priority="6768" operator="between">
      <formula>0.76</formula>
      <formula>0.95</formula>
    </cfRule>
    <cfRule type="cellIs" dxfId="6783" priority="6769" operator="between">
      <formula>0.51</formula>
      <formula>0.75</formula>
    </cfRule>
    <cfRule type="cellIs" dxfId="6782" priority="6770" operator="greaterThan">
      <formula>1</formula>
    </cfRule>
    <cfRule type="cellIs" dxfId="6781" priority="6771" operator="between">
      <formula>0.95</formula>
      <formula>1</formula>
    </cfRule>
    <cfRule type="cellIs" dxfId="6780" priority="6772" stopIfTrue="1" operator="between">
      <formula>0</formula>
      <formula>0.5</formula>
    </cfRule>
  </conditionalFormatting>
  <conditionalFormatting sqref="AF137">
    <cfRule type="cellIs" dxfId="6779" priority="6763" operator="between">
      <formula>0.76</formula>
      <formula>0.95</formula>
    </cfRule>
    <cfRule type="cellIs" dxfId="6778" priority="6764" operator="between">
      <formula>0.51</formula>
      <formula>0.75</formula>
    </cfRule>
    <cfRule type="cellIs" dxfId="6777" priority="6765" operator="greaterThan">
      <formula>1</formula>
    </cfRule>
    <cfRule type="cellIs" dxfId="6776" priority="6766" operator="between">
      <formula>0.95</formula>
      <formula>1</formula>
    </cfRule>
    <cfRule type="cellIs" dxfId="6775" priority="6767" stopIfTrue="1" operator="between">
      <formula>0</formula>
      <formula>0.5</formula>
    </cfRule>
  </conditionalFormatting>
  <conditionalFormatting sqref="AF138">
    <cfRule type="cellIs" dxfId="6774" priority="6758" operator="between">
      <formula>0.76</formula>
      <formula>0.95</formula>
    </cfRule>
    <cfRule type="cellIs" dxfId="6773" priority="6759" operator="between">
      <formula>0.51</formula>
      <formula>0.75</formula>
    </cfRule>
    <cfRule type="cellIs" dxfId="6772" priority="6760" operator="greaterThan">
      <formula>1</formula>
    </cfRule>
    <cfRule type="cellIs" dxfId="6771" priority="6761" operator="between">
      <formula>0.95</formula>
      <formula>1</formula>
    </cfRule>
    <cfRule type="cellIs" dxfId="6770" priority="6762" stopIfTrue="1" operator="between">
      <formula>0</formula>
      <formula>0.5</formula>
    </cfRule>
  </conditionalFormatting>
  <conditionalFormatting sqref="AF139">
    <cfRule type="cellIs" dxfId="6769" priority="6753" operator="between">
      <formula>0.76</formula>
      <formula>0.95</formula>
    </cfRule>
    <cfRule type="cellIs" dxfId="6768" priority="6754" operator="between">
      <formula>0.51</formula>
      <formula>0.75</formula>
    </cfRule>
    <cfRule type="cellIs" dxfId="6767" priority="6755" operator="greaterThan">
      <formula>1</formula>
    </cfRule>
    <cfRule type="cellIs" dxfId="6766" priority="6756" operator="between">
      <formula>0.95</formula>
      <formula>1</formula>
    </cfRule>
    <cfRule type="cellIs" dxfId="6765" priority="6757" stopIfTrue="1" operator="between">
      <formula>0</formula>
      <formula>0.5</formula>
    </cfRule>
  </conditionalFormatting>
  <conditionalFormatting sqref="AF140">
    <cfRule type="cellIs" dxfId="6764" priority="6748" operator="between">
      <formula>0.76</formula>
      <formula>0.95</formula>
    </cfRule>
    <cfRule type="cellIs" dxfId="6763" priority="6749" operator="between">
      <formula>0.51</formula>
      <formula>0.75</formula>
    </cfRule>
    <cfRule type="cellIs" dxfId="6762" priority="6750" operator="greaterThan">
      <formula>1</formula>
    </cfRule>
    <cfRule type="cellIs" dxfId="6761" priority="6751" operator="between">
      <formula>0.95</formula>
      <formula>1</formula>
    </cfRule>
    <cfRule type="cellIs" dxfId="6760" priority="6752" stopIfTrue="1" operator="between">
      <formula>0</formula>
      <formula>0.5</formula>
    </cfRule>
  </conditionalFormatting>
  <conditionalFormatting sqref="AF142">
    <cfRule type="cellIs" dxfId="6759" priority="6743" operator="between">
      <formula>0.76</formula>
      <formula>0.95</formula>
    </cfRule>
    <cfRule type="cellIs" dxfId="6758" priority="6744" operator="between">
      <formula>0.51</formula>
      <formula>0.75</formula>
    </cfRule>
    <cfRule type="cellIs" dxfId="6757" priority="6745" operator="greaterThan">
      <formula>1</formula>
    </cfRule>
    <cfRule type="cellIs" dxfId="6756" priority="6746" operator="between">
      <formula>0.95</formula>
      <formula>1</formula>
    </cfRule>
    <cfRule type="cellIs" dxfId="6755" priority="6747" stopIfTrue="1" operator="between">
      <formula>0</formula>
      <formula>0.5</formula>
    </cfRule>
  </conditionalFormatting>
  <conditionalFormatting sqref="AF143">
    <cfRule type="cellIs" dxfId="6754" priority="6738" operator="between">
      <formula>0.76</formula>
      <formula>0.95</formula>
    </cfRule>
    <cfRule type="cellIs" dxfId="6753" priority="6739" operator="between">
      <formula>0.51</formula>
      <formula>0.75</formula>
    </cfRule>
    <cfRule type="cellIs" dxfId="6752" priority="6740" operator="greaterThan">
      <formula>1</formula>
    </cfRule>
    <cfRule type="cellIs" dxfId="6751" priority="6741" operator="between">
      <formula>0.95</formula>
      <formula>1</formula>
    </cfRule>
    <cfRule type="cellIs" dxfId="6750" priority="6742" stopIfTrue="1" operator="between">
      <formula>0</formula>
      <formula>0.5</formula>
    </cfRule>
  </conditionalFormatting>
  <conditionalFormatting sqref="AF144">
    <cfRule type="cellIs" dxfId="6749" priority="6733" operator="between">
      <formula>0.76</formula>
      <formula>0.95</formula>
    </cfRule>
    <cfRule type="cellIs" dxfId="6748" priority="6734" operator="between">
      <formula>0.51</formula>
      <formula>0.75</formula>
    </cfRule>
    <cfRule type="cellIs" dxfId="6747" priority="6735" operator="greaterThan">
      <formula>1</formula>
    </cfRule>
    <cfRule type="cellIs" dxfId="6746" priority="6736" operator="between">
      <formula>0.95</formula>
      <formula>1</formula>
    </cfRule>
    <cfRule type="cellIs" dxfId="6745" priority="6737" stopIfTrue="1" operator="between">
      <formula>0</formula>
      <formula>0.5</formula>
    </cfRule>
  </conditionalFormatting>
  <conditionalFormatting sqref="AF145">
    <cfRule type="cellIs" dxfId="6744" priority="6728" operator="between">
      <formula>0.76</formula>
      <formula>0.95</formula>
    </cfRule>
    <cfRule type="cellIs" dxfId="6743" priority="6729" operator="between">
      <formula>0.51</formula>
      <formula>0.75</formula>
    </cfRule>
    <cfRule type="cellIs" dxfId="6742" priority="6730" operator="greaterThan">
      <formula>1</formula>
    </cfRule>
    <cfRule type="cellIs" dxfId="6741" priority="6731" operator="between">
      <formula>0.95</formula>
      <formula>1</formula>
    </cfRule>
    <cfRule type="cellIs" dxfId="6740" priority="6732" stopIfTrue="1" operator="between">
      <formula>0</formula>
      <formula>0.5</formula>
    </cfRule>
  </conditionalFormatting>
  <conditionalFormatting sqref="AF182">
    <cfRule type="cellIs" dxfId="6739" priority="6543" operator="between">
      <formula>0.76</formula>
      <formula>0.95</formula>
    </cfRule>
    <cfRule type="cellIs" dxfId="6738" priority="6544" operator="between">
      <formula>0.51</formula>
      <formula>0.75</formula>
    </cfRule>
    <cfRule type="cellIs" dxfId="6737" priority="6545" operator="greaterThan">
      <formula>1</formula>
    </cfRule>
    <cfRule type="cellIs" dxfId="6736" priority="6546" operator="between">
      <formula>0.95</formula>
      <formula>1</formula>
    </cfRule>
    <cfRule type="cellIs" dxfId="6735" priority="6547" stopIfTrue="1" operator="between">
      <formula>0</formula>
      <formula>0.5</formula>
    </cfRule>
  </conditionalFormatting>
  <conditionalFormatting sqref="AF147">
    <cfRule type="cellIs" dxfId="6734" priority="6718" operator="between">
      <formula>0.76</formula>
      <formula>0.95</formula>
    </cfRule>
    <cfRule type="cellIs" dxfId="6733" priority="6719" operator="between">
      <formula>0.51</formula>
      <formula>0.75</formula>
    </cfRule>
    <cfRule type="cellIs" dxfId="6732" priority="6720" operator="greaterThan">
      <formula>1</formula>
    </cfRule>
    <cfRule type="cellIs" dxfId="6731" priority="6721" operator="between">
      <formula>0.95</formula>
      <formula>1</formula>
    </cfRule>
    <cfRule type="cellIs" dxfId="6730" priority="6722" stopIfTrue="1" operator="between">
      <formula>0</formula>
      <formula>0.5</formula>
    </cfRule>
  </conditionalFormatting>
  <conditionalFormatting sqref="AF148">
    <cfRule type="cellIs" dxfId="6729" priority="6713" operator="between">
      <formula>0.76</formula>
      <formula>0.95</formula>
    </cfRule>
    <cfRule type="cellIs" dxfId="6728" priority="6714" operator="between">
      <formula>0.51</formula>
      <formula>0.75</formula>
    </cfRule>
    <cfRule type="cellIs" dxfId="6727" priority="6715" operator="greaterThan">
      <formula>1</formula>
    </cfRule>
    <cfRule type="cellIs" dxfId="6726" priority="6716" operator="between">
      <formula>0.95</formula>
      <formula>1</formula>
    </cfRule>
    <cfRule type="cellIs" dxfId="6725" priority="6717" stopIfTrue="1" operator="between">
      <formula>0</formula>
      <formula>0.5</formula>
    </cfRule>
  </conditionalFormatting>
  <conditionalFormatting sqref="AF149">
    <cfRule type="cellIs" dxfId="6724" priority="6708" operator="between">
      <formula>0.76</formula>
      <formula>0.95</formula>
    </cfRule>
    <cfRule type="cellIs" dxfId="6723" priority="6709" operator="between">
      <formula>0.51</formula>
      <formula>0.75</formula>
    </cfRule>
    <cfRule type="cellIs" dxfId="6722" priority="6710" operator="greaterThan">
      <formula>1</formula>
    </cfRule>
    <cfRule type="cellIs" dxfId="6721" priority="6711" operator="between">
      <formula>0.95</formula>
      <formula>1</formula>
    </cfRule>
    <cfRule type="cellIs" dxfId="6720" priority="6712" stopIfTrue="1" operator="between">
      <formula>0</formula>
      <formula>0.5</formula>
    </cfRule>
  </conditionalFormatting>
  <conditionalFormatting sqref="AF150">
    <cfRule type="cellIs" dxfId="6719" priority="6703" operator="between">
      <formula>0.76</formula>
      <formula>0.95</formula>
    </cfRule>
    <cfRule type="cellIs" dxfId="6718" priority="6704" operator="between">
      <formula>0.51</formula>
      <formula>0.75</formula>
    </cfRule>
    <cfRule type="cellIs" dxfId="6717" priority="6705" operator="greaterThan">
      <formula>1</formula>
    </cfRule>
    <cfRule type="cellIs" dxfId="6716" priority="6706" operator="between">
      <formula>0.95</formula>
      <formula>1</formula>
    </cfRule>
    <cfRule type="cellIs" dxfId="6715" priority="6707" stopIfTrue="1" operator="between">
      <formula>0</formula>
      <formula>0.5</formula>
    </cfRule>
  </conditionalFormatting>
  <conditionalFormatting sqref="AF151">
    <cfRule type="cellIs" dxfId="6714" priority="6698" operator="between">
      <formula>0.76</formula>
      <formula>0.95</formula>
    </cfRule>
    <cfRule type="cellIs" dxfId="6713" priority="6699" operator="between">
      <formula>0.51</formula>
      <formula>0.75</formula>
    </cfRule>
    <cfRule type="cellIs" dxfId="6712" priority="6700" operator="greaterThan">
      <formula>1</formula>
    </cfRule>
    <cfRule type="cellIs" dxfId="6711" priority="6701" operator="between">
      <formula>0.95</formula>
      <formula>1</formula>
    </cfRule>
    <cfRule type="cellIs" dxfId="6710" priority="6702" stopIfTrue="1" operator="between">
      <formula>0</formula>
      <formula>0.5</formula>
    </cfRule>
  </conditionalFormatting>
  <conditionalFormatting sqref="AF152">
    <cfRule type="cellIs" dxfId="6709" priority="6693" operator="between">
      <formula>0.76</formula>
      <formula>0.95</formula>
    </cfRule>
    <cfRule type="cellIs" dxfId="6708" priority="6694" operator="between">
      <formula>0.51</formula>
      <formula>0.75</formula>
    </cfRule>
    <cfRule type="cellIs" dxfId="6707" priority="6695" operator="greaterThan">
      <formula>1</formula>
    </cfRule>
    <cfRule type="cellIs" dxfId="6706" priority="6696" operator="between">
      <formula>0.95</formula>
      <formula>1</formula>
    </cfRule>
    <cfRule type="cellIs" dxfId="6705" priority="6697" stopIfTrue="1" operator="between">
      <formula>0</formula>
      <formula>0.5</formula>
    </cfRule>
  </conditionalFormatting>
  <conditionalFormatting sqref="AF153">
    <cfRule type="cellIs" dxfId="6704" priority="6688" operator="between">
      <formula>0.76</formula>
      <formula>0.95</formula>
    </cfRule>
    <cfRule type="cellIs" dxfId="6703" priority="6689" operator="between">
      <formula>0.51</formula>
      <formula>0.75</formula>
    </cfRule>
    <cfRule type="cellIs" dxfId="6702" priority="6690" operator="greaterThan">
      <formula>1</formula>
    </cfRule>
    <cfRule type="cellIs" dxfId="6701" priority="6691" operator="between">
      <formula>0.95</formula>
      <formula>1</formula>
    </cfRule>
    <cfRule type="cellIs" dxfId="6700" priority="6692" stopIfTrue="1" operator="between">
      <formula>0</formula>
      <formula>0.5</formula>
    </cfRule>
  </conditionalFormatting>
  <conditionalFormatting sqref="AF154">
    <cfRule type="cellIs" dxfId="6699" priority="6683" operator="between">
      <formula>0.76</formula>
      <formula>0.95</formula>
    </cfRule>
    <cfRule type="cellIs" dxfId="6698" priority="6684" operator="between">
      <formula>0.51</formula>
      <formula>0.75</formula>
    </cfRule>
    <cfRule type="cellIs" dxfId="6697" priority="6685" operator="greaterThan">
      <formula>1</formula>
    </cfRule>
    <cfRule type="cellIs" dxfId="6696" priority="6686" operator="between">
      <formula>0.95</formula>
      <formula>1</formula>
    </cfRule>
    <cfRule type="cellIs" dxfId="6695" priority="6687" stopIfTrue="1" operator="between">
      <formula>0</formula>
      <formula>0.5</formula>
    </cfRule>
  </conditionalFormatting>
  <conditionalFormatting sqref="AF155">
    <cfRule type="cellIs" dxfId="6694" priority="6678" operator="between">
      <formula>0.76</formula>
      <formula>0.95</formula>
    </cfRule>
    <cfRule type="cellIs" dxfId="6693" priority="6679" operator="between">
      <formula>0.51</formula>
      <formula>0.75</formula>
    </cfRule>
    <cfRule type="cellIs" dxfId="6692" priority="6680" operator="greaterThan">
      <formula>1</formula>
    </cfRule>
    <cfRule type="cellIs" dxfId="6691" priority="6681" operator="between">
      <formula>0.95</formula>
      <formula>1</formula>
    </cfRule>
    <cfRule type="cellIs" dxfId="6690" priority="6682" stopIfTrue="1" operator="between">
      <formula>0</formula>
      <formula>0.5</formula>
    </cfRule>
  </conditionalFormatting>
  <conditionalFormatting sqref="AF156">
    <cfRule type="cellIs" dxfId="6689" priority="6673" operator="between">
      <formula>0.76</formula>
      <formula>0.95</formula>
    </cfRule>
    <cfRule type="cellIs" dxfId="6688" priority="6674" operator="between">
      <formula>0.51</formula>
      <formula>0.75</formula>
    </cfRule>
    <cfRule type="cellIs" dxfId="6687" priority="6675" operator="greaterThan">
      <formula>1</formula>
    </cfRule>
    <cfRule type="cellIs" dxfId="6686" priority="6676" operator="between">
      <formula>0.95</formula>
      <formula>1</formula>
    </cfRule>
    <cfRule type="cellIs" dxfId="6685" priority="6677" stopIfTrue="1" operator="between">
      <formula>0</formula>
      <formula>0.5</formula>
    </cfRule>
  </conditionalFormatting>
  <conditionalFormatting sqref="AF157">
    <cfRule type="cellIs" dxfId="6684" priority="6668" operator="between">
      <formula>0.76</formula>
      <formula>0.95</formula>
    </cfRule>
    <cfRule type="cellIs" dxfId="6683" priority="6669" operator="between">
      <formula>0.51</formula>
      <formula>0.75</formula>
    </cfRule>
    <cfRule type="cellIs" dxfId="6682" priority="6670" operator="greaterThan">
      <formula>1</formula>
    </cfRule>
    <cfRule type="cellIs" dxfId="6681" priority="6671" operator="between">
      <formula>0.95</formula>
      <formula>1</formula>
    </cfRule>
    <cfRule type="cellIs" dxfId="6680" priority="6672" stopIfTrue="1" operator="between">
      <formula>0</formula>
      <formula>0.5</formula>
    </cfRule>
  </conditionalFormatting>
  <conditionalFormatting sqref="AF158">
    <cfRule type="cellIs" dxfId="6679" priority="6663" operator="between">
      <formula>0.76</formula>
      <formula>0.95</formula>
    </cfRule>
    <cfRule type="cellIs" dxfId="6678" priority="6664" operator="between">
      <formula>0.51</formula>
      <formula>0.75</formula>
    </cfRule>
    <cfRule type="cellIs" dxfId="6677" priority="6665" operator="greaterThan">
      <formula>1</formula>
    </cfRule>
    <cfRule type="cellIs" dxfId="6676" priority="6666" operator="between">
      <formula>0.95</formula>
      <formula>1</formula>
    </cfRule>
    <cfRule type="cellIs" dxfId="6675" priority="6667" stopIfTrue="1" operator="between">
      <formula>0</formula>
      <formula>0.5</formula>
    </cfRule>
  </conditionalFormatting>
  <conditionalFormatting sqref="AF159">
    <cfRule type="cellIs" dxfId="6674" priority="6658" operator="between">
      <formula>0.76</formula>
      <formula>0.95</formula>
    </cfRule>
    <cfRule type="cellIs" dxfId="6673" priority="6659" operator="between">
      <formula>0.51</formula>
      <formula>0.75</formula>
    </cfRule>
    <cfRule type="cellIs" dxfId="6672" priority="6660" operator="greaterThan">
      <formula>1</formula>
    </cfRule>
    <cfRule type="cellIs" dxfId="6671" priority="6661" operator="between">
      <formula>0.95</formula>
      <formula>1</formula>
    </cfRule>
    <cfRule type="cellIs" dxfId="6670" priority="6662" stopIfTrue="1" operator="between">
      <formula>0</formula>
      <formula>0.5</formula>
    </cfRule>
  </conditionalFormatting>
  <conditionalFormatting sqref="AF160">
    <cfRule type="cellIs" dxfId="6669" priority="6653" operator="between">
      <formula>0.76</formula>
      <formula>0.95</formula>
    </cfRule>
    <cfRule type="cellIs" dxfId="6668" priority="6654" operator="between">
      <formula>0.51</formula>
      <formula>0.75</formula>
    </cfRule>
    <cfRule type="cellIs" dxfId="6667" priority="6655" operator="greaterThan">
      <formula>1</formula>
    </cfRule>
    <cfRule type="cellIs" dxfId="6666" priority="6656" operator="between">
      <formula>0.95</formula>
      <formula>1</formula>
    </cfRule>
    <cfRule type="cellIs" dxfId="6665" priority="6657" stopIfTrue="1" operator="between">
      <formula>0</formula>
      <formula>0.5</formula>
    </cfRule>
  </conditionalFormatting>
  <conditionalFormatting sqref="AF161">
    <cfRule type="cellIs" dxfId="6664" priority="6648" operator="between">
      <formula>0.76</formula>
      <formula>0.95</formula>
    </cfRule>
    <cfRule type="cellIs" dxfId="6663" priority="6649" operator="between">
      <formula>0.51</formula>
      <formula>0.75</formula>
    </cfRule>
    <cfRule type="cellIs" dxfId="6662" priority="6650" operator="greaterThan">
      <formula>1</formula>
    </cfRule>
    <cfRule type="cellIs" dxfId="6661" priority="6651" operator="between">
      <formula>0.95</formula>
      <formula>1</formula>
    </cfRule>
    <cfRule type="cellIs" dxfId="6660" priority="6652" stopIfTrue="1" operator="between">
      <formula>0</formula>
      <formula>0.5</formula>
    </cfRule>
  </conditionalFormatting>
  <conditionalFormatting sqref="AF162">
    <cfRule type="cellIs" dxfId="6659" priority="6643" operator="between">
      <formula>0.76</formula>
      <formula>0.95</formula>
    </cfRule>
    <cfRule type="cellIs" dxfId="6658" priority="6644" operator="between">
      <formula>0.51</formula>
      <formula>0.75</formula>
    </cfRule>
    <cfRule type="cellIs" dxfId="6657" priority="6645" operator="greaterThan">
      <formula>1</formula>
    </cfRule>
    <cfRule type="cellIs" dxfId="6656" priority="6646" operator="between">
      <formula>0.95</formula>
      <formula>1</formula>
    </cfRule>
    <cfRule type="cellIs" dxfId="6655" priority="6647" stopIfTrue="1" operator="between">
      <formula>0</formula>
      <formula>0.5</formula>
    </cfRule>
  </conditionalFormatting>
  <conditionalFormatting sqref="AF163">
    <cfRule type="cellIs" dxfId="6654" priority="6638" operator="between">
      <formula>0.76</formula>
      <formula>0.95</formula>
    </cfRule>
    <cfRule type="cellIs" dxfId="6653" priority="6639" operator="between">
      <formula>0.51</formula>
      <formula>0.75</formula>
    </cfRule>
    <cfRule type="cellIs" dxfId="6652" priority="6640" operator="greaterThan">
      <formula>1</formula>
    </cfRule>
    <cfRule type="cellIs" dxfId="6651" priority="6641" operator="between">
      <formula>0.95</formula>
      <formula>1</formula>
    </cfRule>
    <cfRule type="cellIs" dxfId="6650" priority="6642" stopIfTrue="1" operator="between">
      <formula>0</formula>
      <formula>0.5</formula>
    </cfRule>
  </conditionalFormatting>
  <conditionalFormatting sqref="AF164">
    <cfRule type="cellIs" dxfId="6649" priority="6633" operator="between">
      <formula>0.76</formula>
      <formula>0.95</formula>
    </cfRule>
    <cfRule type="cellIs" dxfId="6648" priority="6634" operator="between">
      <formula>0.51</formula>
      <formula>0.75</formula>
    </cfRule>
    <cfRule type="cellIs" dxfId="6647" priority="6635" operator="greaterThan">
      <formula>1</formula>
    </cfRule>
    <cfRule type="cellIs" dxfId="6646" priority="6636" operator="between">
      <formula>0.95</formula>
      <formula>1</formula>
    </cfRule>
    <cfRule type="cellIs" dxfId="6645" priority="6637" stopIfTrue="1" operator="between">
      <formula>0</formula>
      <formula>0.5</formula>
    </cfRule>
  </conditionalFormatting>
  <conditionalFormatting sqref="AF165">
    <cfRule type="cellIs" dxfId="6644" priority="6628" operator="between">
      <formula>0.76</formula>
      <formula>0.95</formula>
    </cfRule>
    <cfRule type="cellIs" dxfId="6643" priority="6629" operator="between">
      <formula>0.51</formula>
      <formula>0.75</formula>
    </cfRule>
    <cfRule type="cellIs" dxfId="6642" priority="6630" operator="greaterThan">
      <formula>1</formula>
    </cfRule>
    <cfRule type="cellIs" dxfId="6641" priority="6631" operator="between">
      <formula>0.95</formula>
      <formula>1</formula>
    </cfRule>
    <cfRule type="cellIs" dxfId="6640" priority="6632" stopIfTrue="1" operator="between">
      <formula>0</formula>
      <formula>0.5</formula>
    </cfRule>
  </conditionalFormatting>
  <conditionalFormatting sqref="AF166">
    <cfRule type="cellIs" dxfId="6639" priority="6623" operator="between">
      <formula>0.76</formula>
      <formula>0.95</formula>
    </cfRule>
    <cfRule type="cellIs" dxfId="6638" priority="6624" operator="between">
      <formula>0.51</formula>
      <formula>0.75</formula>
    </cfRule>
    <cfRule type="cellIs" dxfId="6637" priority="6625" operator="greaterThan">
      <formula>1</formula>
    </cfRule>
    <cfRule type="cellIs" dxfId="6636" priority="6626" operator="between">
      <formula>0.95</formula>
      <formula>1</formula>
    </cfRule>
    <cfRule type="cellIs" dxfId="6635" priority="6627" stopIfTrue="1" operator="between">
      <formula>0</formula>
      <formula>0.5</formula>
    </cfRule>
  </conditionalFormatting>
  <conditionalFormatting sqref="AF167">
    <cfRule type="cellIs" dxfId="6634" priority="6618" operator="between">
      <formula>0.76</formula>
      <formula>0.95</formula>
    </cfRule>
    <cfRule type="cellIs" dxfId="6633" priority="6619" operator="between">
      <formula>0.51</formula>
      <formula>0.75</formula>
    </cfRule>
    <cfRule type="cellIs" dxfId="6632" priority="6620" operator="greaterThan">
      <formula>1</formula>
    </cfRule>
    <cfRule type="cellIs" dxfId="6631" priority="6621" operator="between">
      <formula>0.95</formula>
      <formula>1</formula>
    </cfRule>
    <cfRule type="cellIs" dxfId="6630" priority="6622" stopIfTrue="1" operator="between">
      <formula>0</formula>
      <formula>0.5</formula>
    </cfRule>
  </conditionalFormatting>
  <conditionalFormatting sqref="AF168">
    <cfRule type="cellIs" dxfId="6629" priority="6613" operator="between">
      <formula>0.76</formula>
      <formula>0.95</formula>
    </cfRule>
    <cfRule type="cellIs" dxfId="6628" priority="6614" operator="between">
      <formula>0.51</formula>
      <formula>0.75</formula>
    </cfRule>
    <cfRule type="cellIs" dxfId="6627" priority="6615" operator="greaterThan">
      <formula>1</formula>
    </cfRule>
    <cfRule type="cellIs" dxfId="6626" priority="6616" operator="between">
      <formula>0.95</formula>
      <formula>1</formula>
    </cfRule>
    <cfRule type="cellIs" dxfId="6625" priority="6617" stopIfTrue="1" operator="between">
      <formula>0</formula>
      <formula>0.5</formula>
    </cfRule>
  </conditionalFormatting>
  <conditionalFormatting sqref="AF169">
    <cfRule type="cellIs" dxfId="6624" priority="6608" operator="between">
      <formula>0.76</formula>
      <formula>0.95</formula>
    </cfRule>
    <cfRule type="cellIs" dxfId="6623" priority="6609" operator="between">
      <formula>0.51</formula>
      <formula>0.75</formula>
    </cfRule>
    <cfRule type="cellIs" dxfId="6622" priority="6610" operator="greaterThan">
      <formula>1</formula>
    </cfRule>
    <cfRule type="cellIs" dxfId="6621" priority="6611" operator="between">
      <formula>0.95</formula>
      <formula>1</formula>
    </cfRule>
    <cfRule type="cellIs" dxfId="6620" priority="6612" stopIfTrue="1" operator="between">
      <formula>0</formula>
      <formula>0.5</formula>
    </cfRule>
  </conditionalFormatting>
  <conditionalFormatting sqref="AF170">
    <cfRule type="cellIs" dxfId="6619" priority="6603" operator="between">
      <formula>0.76</formula>
      <formula>0.95</formula>
    </cfRule>
    <cfRule type="cellIs" dxfId="6618" priority="6604" operator="between">
      <formula>0.51</formula>
      <formula>0.75</formula>
    </cfRule>
    <cfRule type="cellIs" dxfId="6617" priority="6605" operator="greaterThan">
      <formula>1</formula>
    </cfRule>
    <cfRule type="cellIs" dxfId="6616" priority="6606" operator="between">
      <formula>0.95</formula>
      <formula>1</formula>
    </cfRule>
    <cfRule type="cellIs" dxfId="6615" priority="6607" stopIfTrue="1" operator="between">
      <formula>0</formula>
      <formula>0.5</formula>
    </cfRule>
  </conditionalFormatting>
  <conditionalFormatting sqref="AF171">
    <cfRule type="cellIs" dxfId="6614" priority="6598" operator="between">
      <formula>0.76</formula>
      <formula>0.95</formula>
    </cfRule>
    <cfRule type="cellIs" dxfId="6613" priority="6599" operator="between">
      <formula>0.51</formula>
      <formula>0.75</formula>
    </cfRule>
    <cfRule type="cellIs" dxfId="6612" priority="6600" operator="greaterThan">
      <formula>1</formula>
    </cfRule>
    <cfRule type="cellIs" dxfId="6611" priority="6601" operator="between">
      <formula>0.95</formula>
      <formula>1</formula>
    </cfRule>
    <cfRule type="cellIs" dxfId="6610" priority="6602" stopIfTrue="1" operator="between">
      <formula>0</formula>
      <formula>0.5</formula>
    </cfRule>
  </conditionalFormatting>
  <conditionalFormatting sqref="AF172">
    <cfRule type="cellIs" dxfId="6609" priority="6593" operator="between">
      <formula>0.76</formula>
      <formula>0.95</formula>
    </cfRule>
    <cfRule type="cellIs" dxfId="6608" priority="6594" operator="between">
      <formula>0.51</formula>
      <formula>0.75</formula>
    </cfRule>
    <cfRule type="cellIs" dxfId="6607" priority="6595" operator="greaterThan">
      <formula>1</formula>
    </cfRule>
    <cfRule type="cellIs" dxfId="6606" priority="6596" operator="between">
      <formula>0.95</formula>
      <formula>1</formula>
    </cfRule>
    <cfRule type="cellIs" dxfId="6605" priority="6597" stopIfTrue="1" operator="between">
      <formula>0</formula>
      <formula>0.5</formula>
    </cfRule>
  </conditionalFormatting>
  <conditionalFormatting sqref="AF173">
    <cfRule type="cellIs" dxfId="6604" priority="6588" operator="between">
      <formula>0.76</formula>
      <formula>0.95</formula>
    </cfRule>
    <cfRule type="cellIs" dxfId="6603" priority="6589" operator="between">
      <formula>0.51</formula>
      <formula>0.75</formula>
    </cfRule>
    <cfRule type="cellIs" dxfId="6602" priority="6590" operator="greaterThan">
      <formula>1</formula>
    </cfRule>
    <cfRule type="cellIs" dxfId="6601" priority="6591" operator="between">
      <formula>0.95</formula>
      <formula>1</formula>
    </cfRule>
    <cfRule type="cellIs" dxfId="6600" priority="6592" stopIfTrue="1" operator="between">
      <formula>0</formula>
      <formula>0.5</formula>
    </cfRule>
  </conditionalFormatting>
  <conditionalFormatting sqref="AF174">
    <cfRule type="cellIs" dxfId="6599" priority="6583" operator="between">
      <formula>0.76</formula>
      <formula>0.95</formula>
    </cfRule>
    <cfRule type="cellIs" dxfId="6598" priority="6584" operator="between">
      <formula>0.51</formula>
      <formula>0.75</formula>
    </cfRule>
    <cfRule type="cellIs" dxfId="6597" priority="6585" operator="greaterThan">
      <formula>1</formula>
    </cfRule>
    <cfRule type="cellIs" dxfId="6596" priority="6586" operator="between">
      <formula>0.95</formula>
      <formula>1</formula>
    </cfRule>
    <cfRule type="cellIs" dxfId="6595" priority="6587" stopIfTrue="1" operator="between">
      <formula>0</formula>
      <formula>0.5</formula>
    </cfRule>
  </conditionalFormatting>
  <conditionalFormatting sqref="AF175">
    <cfRule type="cellIs" dxfId="6594" priority="6578" operator="between">
      <formula>0.76</formula>
      <formula>0.95</formula>
    </cfRule>
    <cfRule type="cellIs" dxfId="6593" priority="6579" operator="between">
      <formula>0.51</formula>
      <formula>0.75</formula>
    </cfRule>
    <cfRule type="cellIs" dxfId="6592" priority="6580" operator="greaterThan">
      <formula>1</formula>
    </cfRule>
    <cfRule type="cellIs" dxfId="6591" priority="6581" operator="between">
      <formula>0.95</formula>
      <formula>1</formula>
    </cfRule>
    <cfRule type="cellIs" dxfId="6590" priority="6582" stopIfTrue="1" operator="between">
      <formula>0</formula>
      <formula>0.5</formula>
    </cfRule>
  </conditionalFormatting>
  <conditionalFormatting sqref="AF176">
    <cfRule type="cellIs" dxfId="6589" priority="6573" operator="between">
      <formula>0.76</formula>
      <formula>0.95</formula>
    </cfRule>
    <cfRule type="cellIs" dxfId="6588" priority="6574" operator="between">
      <formula>0.51</formula>
      <formula>0.75</formula>
    </cfRule>
    <cfRule type="cellIs" dxfId="6587" priority="6575" operator="greaterThan">
      <formula>1</formula>
    </cfRule>
    <cfRule type="cellIs" dxfId="6586" priority="6576" operator="between">
      <formula>0.95</formula>
      <formula>1</formula>
    </cfRule>
    <cfRule type="cellIs" dxfId="6585" priority="6577" stopIfTrue="1" operator="between">
      <formula>0</formula>
      <formula>0.5</formula>
    </cfRule>
  </conditionalFormatting>
  <conditionalFormatting sqref="AF177">
    <cfRule type="cellIs" dxfId="6584" priority="6568" operator="between">
      <formula>0.76</formula>
      <formula>0.95</formula>
    </cfRule>
    <cfRule type="cellIs" dxfId="6583" priority="6569" operator="between">
      <formula>0.51</formula>
      <formula>0.75</formula>
    </cfRule>
    <cfRule type="cellIs" dxfId="6582" priority="6570" operator="greaterThan">
      <formula>1</formula>
    </cfRule>
    <cfRule type="cellIs" dxfId="6581" priority="6571" operator="between">
      <formula>0.95</formula>
      <formula>1</formula>
    </cfRule>
    <cfRule type="cellIs" dxfId="6580" priority="6572" stopIfTrue="1" operator="between">
      <formula>0</formula>
      <formula>0.5</formula>
    </cfRule>
  </conditionalFormatting>
  <conditionalFormatting sqref="AF203">
    <cfRule type="cellIs" dxfId="6579" priority="6423" operator="between">
      <formula>0.76</formula>
      <formula>0.95</formula>
    </cfRule>
    <cfRule type="cellIs" dxfId="6578" priority="6424" operator="between">
      <formula>0.51</formula>
      <formula>0.75</formula>
    </cfRule>
    <cfRule type="cellIs" dxfId="6577" priority="6425" operator="greaterThan">
      <formula>1</formula>
    </cfRule>
    <cfRule type="cellIs" dxfId="6576" priority="6426" operator="between">
      <formula>0.95</formula>
      <formula>1</formula>
    </cfRule>
    <cfRule type="cellIs" dxfId="6575" priority="6427" stopIfTrue="1" operator="between">
      <formula>0</formula>
      <formula>0.5</formula>
    </cfRule>
  </conditionalFormatting>
  <conditionalFormatting sqref="AF179">
    <cfRule type="cellIs" dxfId="6574" priority="6558" operator="between">
      <formula>0.76</formula>
      <formula>0.95</formula>
    </cfRule>
    <cfRule type="cellIs" dxfId="6573" priority="6559" operator="between">
      <formula>0.51</formula>
      <formula>0.75</formula>
    </cfRule>
    <cfRule type="cellIs" dxfId="6572" priority="6560" operator="greaterThan">
      <formula>1</formula>
    </cfRule>
    <cfRule type="cellIs" dxfId="6571" priority="6561" operator="between">
      <formula>0.95</formula>
      <formula>1</formula>
    </cfRule>
    <cfRule type="cellIs" dxfId="6570" priority="6562" stopIfTrue="1" operator="between">
      <formula>0</formula>
      <formula>0.5</formula>
    </cfRule>
  </conditionalFormatting>
  <conditionalFormatting sqref="AF180">
    <cfRule type="cellIs" dxfId="6569" priority="6553" operator="between">
      <formula>0.76</formula>
      <formula>0.95</formula>
    </cfRule>
    <cfRule type="cellIs" dxfId="6568" priority="6554" operator="between">
      <formula>0.51</formula>
      <formula>0.75</formula>
    </cfRule>
    <cfRule type="cellIs" dxfId="6567" priority="6555" operator="greaterThan">
      <formula>1</formula>
    </cfRule>
    <cfRule type="cellIs" dxfId="6566" priority="6556" operator="between">
      <formula>0.95</formula>
      <formula>1</formula>
    </cfRule>
    <cfRule type="cellIs" dxfId="6565" priority="6557" stopIfTrue="1" operator="between">
      <formula>0</formula>
      <formula>0.5</formula>
    </cfRule>
  </conditionalFormatting>
  <conditionalFormatting sqref="AF181">
    <cfRule type="cellIs" dxfId="6564" priority="6548" operator="between">
      <formula>0.76</formula>
      <formula>0.95</formula>
    </cfRule>
    <cfRule type="cellIs" dxfId="6563" priority="6549" operator="between">
      <formula>0.51</formula>
      <formula>0.75</formula>
    </cfRule>
    <cfRule type="cellIs" dxfId="6562" priority="6550" operator="greaterThan">
      <formula>1</formula>
    </cfRule>
    <cfRule type="cellIs" dxfId="6561" priority="6551" operator="between">
      <formula>0.95</formula>
      <formula>1</formula>
    </cfRule>
    <cfRule type="cellIs" dxfId="6560" priority="6552" stopIfTrue="1" operator="between">
      <formula>0</formula>
      <formula>0.5</formula>
    </cfRule>
  </conditionalFormatting>
  <conditionalFormatting sqref="AF183">
    <cfRule type="cellIs" dxfId="6559" priority="6538" operator="between">
      <formula>0.76</formula>
      <formula>0.95</formula>
    </cfRule>
    <cfRule type="cellIs" dxfId="6558" priority="6539" operator="between">
      <formula>0.51</formula>
      <formula>0.75</formula>
    </cfRule>
    <cfRule type="cellIs" dxfId="6557" priority="6540" operator="greaterThan">
      <formula>1</formula>
    </cfRule>
    <cfRule type="cellIs" dxfId="6556" priority="6541" operator="between">
      <formula>0.95</formula>
      <formula>1</formula>
    </cfRule>
    <cfRule type="cellIs" dxfId="6555" priority="6542" stopIfTrue="1" operator="between">
      <formula>0</formula>
      <formula>0.5</formula>
    </cfRule>
  </conditionalFormatting>
  <conditionalFormatting sqref="AF184">
    <cfRule type="cellIs" dxfId="6554" priority="6533" operator="between">
      <formula>0.76</formula>
      <formula>0.95</formula>
    </cfRule>
    <cfRule type="cellIs" dxfId="6553" priority="6534" operator="between">
      <formula>0.51</formula>
      <formula>0.75</formula>
    </cfRule>
    <cfRule type="cellIs" dxfId="6552" priority="6535" operator="greaterThan">
      <formula>1</formula>
    </cfRule>
    <cfRule type="cellIs" dxfId="6551" priority="6536" operator="between">
      <formula>0.95</formula>
      <formula>1</formula>
    </cfRule>
    <cfRule type="cellIs" dxfId="6550" priority="6537" stopIfTrue="1" operator="between">
      <formula>0</formula>
      <formula>0.5</formula>
    </cfRule>
  </conditionalFormatting>
  <conditionalFormatting sqref="AF185">
    <cfRule type="cellIs" dxfId="6549" priority="6528" operator="between">
      <formula>0.76</formula>
      <formula>0.95</formula>
    </cfRule>
    <cfRule type="cellIs" dxfId="6548" priority="6529" operator="between">
      <formula>0.51</formula>
      <formula>0.75</formula>
    </cfRule>
    <cfRule type="cellIs" dxfId="6547" priority="6530" operator="greaterThan">
      <formula>1</formula>
    </cfRule>
    <cfRule type="cellIs" dxfId="6546" priority="6531" operator="between">
      <formula>0.95</formula>
      <formula>1</formula>
    </cfRule>
    <cfRule type="cellIs" dxfId="6545" priority="6532" stopIfTrue="1" operator="between">
      <formula>0</formula>
      <formula>0.5</formula>
    </cfRule>
  </conditionalFormatting>
  <conditionalFormatting sqref="AF186">
    <cfRule type="cellIs" dxfId="6544" priority="6523" operator="between">
      <formula>0.76</formula>
      <formula>0.95</formula>
    </cfRule>
    <cfRule type="cellIs" dxfId="6543" priority="6524" operator="between">
      <formula>0.51</formula>
      <formula>0.75</formula>
    </cfRule>
    <cfRule type="cellIs" dxfId="6542" priority="6525" operator="greaterThan">
      <formula>1</formula>
    </cfRule>
    <cfRule type="cellIs" dxfId="6541" priority="6526" operator="between">
      <formula>0.95</formula>
      <formula>1</formula>
    </cfRule>
    <cfRule type="cellIs" dxfId="6540" priority="6527" stopIfTrue="1" operator="between">
      <formula>0</formula>
      <formula>0.5</formula>
    </cfRule>
  </conditionalFormatting>
  <conditionalFormatting sqref="AF187">
    <cfRule type="cellIs" dxfId="6539" priority="6518" operator="between">
      <formula>0.76</formula>
      <formula>0.95</formula>
    </cfRule>
    <cfRule type="cellIs" dxfId="6538" priority="6519" operator="between">
      <formula>0.51</formula>
      <formula>0.75</formula>
    </cfRule>
    <cfRule type="cellIs" dxfId="6537" priority="6520" operator="greaterThan">
      <formula>1</formula>
    </cfRule>
    <cfRule type="cellIs" dxfId="6536" priority="6521" operator="between">
      <formula>0.95</formula>
      <formula>1</formula>
    </cfRule>
    <cfRule type="cellIs" dxfId="6535" priority="6522" stopIfTrue="1" operator="between">
      <formula>0</formula>
      <formula>0.5</formula>
    </cfRule>
  </conditionalFormatting>
  <conditionalFormatting sqref="AF188">
    <cfRule type="cellIs" dxfId="6534" priority="6508" operator="between">
      <formula>0.76</formula>
      <formula>0.95</formula>
    </cfRule>
    <cfRule type="cellIs" dxfId="6533" priority="6509" operator="between">
      <formula>0.51</formula>
      <formula>0.75</formula>
    </cfRule>
    <cfRule type="cellIs" dxfId="6532" priority="6510" operator="greaterThan">
      <formula>1</formula>
    </cfRule>
    <cfRule type="cellIs" dxfId="6531" priority="6511" operator="between">
      <formula>0.95</formula>
      <formula>1</formula>
    </cfRule>
    <cfRule type="cellIs" dxfId="6530" priority="6512" stopIfTrue="1" operator="between">
      <formula>0</formula>
      <formula>0.5</formula>
    </cfRule>
  </conditionalFormatting>
  <conditionalFormatting sqref="AF189">
    <cfRule type="cellIs" dxfId="6529" priority="6503" operator="between">
      <formula>0.76</formula>
      <formula>0.95</formula>
    </cfRule>
    <cfRule type="cellIs" dxfId="6528" priority="6504" operator="between">
      <formula>0.51</formula>
      <formula>0.75</formula>
    </cfRule>
    <cfRule type="cellIs" dxfId="6527" priority="6505" operator="greaterThan">
      <formula>1</formula>
    </cfRule>
    <cfRule type="cellIs" dxfId="6526" priority="6506" operator="between">
      <formula>0.95</formula>
      <formula>1</formula>
    </cfRule>
    <cfRule type="cellIs" dxfId="6525" priority="6507" stopIfTrue="1" operator="between">
      <formula>0</formula>
      <formula>0.5</formula>
    </cfRule>
  </conditionalFormatting>
  <conditionalFormatting sqref="AF190">
    <cfRule type="cellIs" dxfId="6524" priority="6498" operator="between">
      <formula>0.76</formula>
      <formula>0.95</formula>
    </cfRule>
    <cfRule type="cellIs" dxfId="6523" priority="6499" operator="between">
      <formula>0.51</formula>
      <formula>0.75</formula>
    </cfRule>
    <cfRule type="cellIs" dxfId="6522" priority="6500" operator="greaterThan">
      <formula>1</formula>
    </cfRule>
    <cfRule type="cellIs" dxfId="6521" priority="6501" operator="between">
      <formula>0.95</formula>
      <formula>1</formula>
    </cfRule>
    <cfRule type="cellIs" dxfId="6520" priority="6502" stopIfTrue="1" operator="between">
      <formula>0</formula>
      <formula>0.5</formula>
    </cfRule>
  </conditionalFormatting>
  <conditionalFormatting sqref="AF191">
    <cfRule type="cellIs" dxfId="6519" priority="6493" operator="between">
      <formula>0.76</formula>
      <formula>0.95</formula>
    </cfRule>
    <cfRule type="cellIs" dxfId="6518" priority="6494" operator="between">
      <formula>0.51</formula>
      <formula>0.75</formula>
    </cfRule>
    <cfRule type="cellIs" dxfId="6517" priority="6495" operator="greaterThan">
      <formula>1</formula>
    </cfRule>
    <cfRule type="cellIs" dxfId="6516" priority="6496" operator="between">
      <formula>0.95</formula>
      <formula>1</formula>
    </cfRule>
    <cfRule type="cellIs" dxfId="6515" priority="6497" stopIfTrue="1" operator="between">
      <formula>0</formula>
      <formula>0.5</formula>
    </cfRule>
  </conditionalFormatting>
  <conditionalFormatting sqref="AF192">
    <cfRule type="cellIs" dxfId="6514" priority="6488" operator="between">
      <formula>0.76</formula>
      <formula>0.95</formula>
    </cfRule>
    <cfRule type="cellIs" dxfId="6513" priority="6489" operator="between">
      <formula>0.51</formula>
      <formula>0.75</formula>
    </cfRule>
    <cfRule type="cellIs" dxfId="6512" priority="6490" operator="greaterThan">
      <formula>1</formula>
    </cfRule>
    <cfRule type="cellIs" dxfId="6511" priority="6491" operator="between">
      <formula>0.95</formula>
      <formula>1</formula>
    </cfRule>
    <cfRule type="cellIs" dxfId="6510" priority="6492" stopIfTrue="1" operator="between">
      <formula>0</formula>
      <formula>0.5</formula>
    </cfRule>
  </conditionalFormatting>
  <conditionalFormatting sqref="AF195">
    <cfRule type="cellIs" dxfId="6509" priority="6483" operator="between">
      <formula>0.76</formula>
      <formula>0.95</formula>
    </cfRule>
    <cfRule type="cellIs" dxfId="6508" priority="6484" operator="between">
      <formula>0.51</formula>
      <formula>0.75</formula>
    </cfRule>
    <cfRule type="cellIs" dxfId="6507" priority="6485" operator="greaterThan">
      <formula>1</formula>
    </cfRule>
    <cfRule type="cellIs" dxfId="6506" priority="6486" operator="between">
      <formula>0.95</formula>
      <formula>1</formula>
    </cfRule>
    <cfRule type="cellIs" dxfId="6505" priority="6487" stopIfTrue="1" operator="between">
      <formula>0</formula>
      <formula>0.5</formula>
    </cfRule>
  </conditionalFormatting>
  <conditionalFormatting sqref="AF196">
    <cfRule type="cellIs" dxfId="6504" priority="6478" operator="between">
      <formula>0.76</formula>
      <formula>0.95</formula>
    </cfRule>
    <cfRule type="cellIs" dxfId="6503" priority="6479" operator="between">
      <formula>0.51</formula>
      <formula>0.75</formula>
    </cfRule>
    <cfRule type="cellIs" dxfId="6502" priority="6480" operator="greaterThan">
      <formula>1</formula>
    </cfRule>
    <cfRule type="cellIs" dxfId="6501" priority="6481" operator="between">
      <formula>0.95</formula>
      <formula>1</formula>
    </cfRule>
    <cfRule type="cellIs" dxfId="6500" priority="6482" stopIfTrue="1" operator="between">
      <formula>0</formula>
      <formula>0.5</formula>
    </cfRule>
  </conditionalFormatting>
  <conditionalFormatting sqref="AF197">
    <cfRule type="cellIs" dxfId="6499" priority="6463" operator="between">
      <formula>0.76</formula>
      <formula>0.95</formula>
    </cfRule>
    <cfRule type="cellIs" dxfId="6498" priority="6464" operator="between">
      <formula>0.51</formula>
      <formula>0.75</formula>
    </cfRule>
    <cfRule type="cellIs" dxfId="6497" priority="6465" operator="greaterThan">
      <formula>1</formula>
    </cfRule>
    <cfRule type="cellIs" dxfId="6496" priority="6466" operator="between">
      <formula>0.95</formula>
      <formula>1</formula>
    </cfRule>
    <cfRule type="cellIs" dxfId="6495" priority="6467" stopIfTrue="1" operator="between">
      <formula>0</formula>
      <formula>0.5</formula>
    </cfRule>
  </conditionalFormatting>
  <conditionalFormatting sqref="AF198">
    <cfRule type="cellIs" dxfId="6494" priority="6458" operator="between">
      <formula>0.76</formula>
      <formula>0.95</formula>
    </cfRule>
    <cfRule type="cellIs" dxfId="6493" priority="6459" operator="between">
      <formula>0.51</formula>
      <formula>0.75</formula>
    </cfRule>
    <cfRule type="cellIs" dxfId="6492" priority="6460" operator="greaterThan">
      <formula>1</formula>
    </cfRule>
    <cfRule type="cellIs" dxfId="6491" priority="6461" operator="between">
      <formula>0.95</formula>
      <formula>1</formula>
    </cfRule>
    <cfRule type="cellIs" dxfId="6490" priority="6462" stopIfTrue="1" operator="between">
      <formula>0</formula>
      <formula>0.5</formula>
    </cfRule>
  </conditionalFormatting>
  <conditionalFormatting sqref="AF199">
    <cfRule type="cellIs" dxfId="6489" priority="6453" operator="between">
      <formula>0.76</formula>
      <formula>0.95</formula>
    </cfRule>
    <cfRule type="cellIs" dxfId="6488" priority="6454" operator="between">
      <formula>0.51</formula>
      <formula>0.75</formula>
    </cfRule>
    <cfRule type="cellIs" dxfId="6487" priority="6455" operator="greaterThan">
      <formula>1</formula>
    </cfRule>
    <cfRule type="cellIs" dxfId="6486" priority="6456" operator="between">
      <formula>0.95</formula>
      <formula>1</formula>
    </cfRule>
    <cfRule type="cellIs" dxfId="6485" priority="6457" stopIfTrue="1" operator="between">
      <formula>0</formula>
      <formula>0.5</formula>
    </cfRule>
  </conditionalFormatting>
  <conditionalFormatting sqref="AF200">
    <cfRule type="cellIs" dxfId="6484" priority="6448" operator="between">
      <formula>0.76</formula>
      <formula>0.95</formula>
    </cfRule>
    <cfRule type="cellIs" dxfId="6483" priority="6449" operator="between">
      <formula>0.51</formula>
      <formula>0.75</formula>
    </cfRule>
    <cfRule type="cellIs" dxfId="6482" priority="6450" operator="greaterThan">
      <formula>1</formula>
    </cfRule>
    <cfRule type="cellIs" dxfId="6481" priority="6451" operator="between">
      <formula>0.95</formula>
      <formula>1</formula>
    </cfRule>
    <cfRule type="cellIs" dxfId="6480" priority="6452" stopIfTrue="1" operator="between">
      <formula>0</formula>
      <formula>0.5</formula>
    </cfRule>
  </conditionalFormatting>
  <conditionalFormatting sqref="AF201">
    <cfRule type="cellIs" dxfId="6479" priority="6443" operator="between">
      <formula>0.76</formula>
      <formula>0.95</formula>
    </cfRule>
    <cfRule type="cellIs" dxfId="6478" priority="6444" operator="between">
      <formula>0.51</formula>
      <formula>0.75</formula>
    </cfRule>
    <cfRule type="cellIs" dxfId="6477" priority="6445" operator="greaterThan">
      <formula>1</formula>
    </cfRule>
    <cfRule type="cellIs" dxfId="6476" priority="6446" operator="between">
      <formula>0.95</formula>
      <formula>1</formula>
    </cfRule>
    <cfRule type="cellIs" dxfId="6475" priority="6447" stopIfTrue="1" operator="between">
      <formula>0</formula>
      <formula>0.5</formula>
    </cfRule>
  </conditionalFormatting>
  <conditionalFormatting sqref="AF202">
    <cfRule type="cellIs" dxfId="6474" priority="6428" operator="between">
      <formula>0.76</formula>
      <formula>0.95</formula>
    </cfRule>
    <cfRule type="cellIs" dxfId="6473" priority="6429" operator="between">
      <formula>0.51</formula>
      <formula>0.75</formula>
    </cfRule>
    <cfRule type="cellIs" dxfId="6472" priority="6430" operator="greaterThan">
      <formula>1</formula>
    </cfRule>
    <cfRule type="cellIs" dxfId="6471" priority="6431" operator="between">
      <formula>0.95</formula>
      <formula>1</formula>
    </cfRule>
    <cfRule type="cellIs" dxfId="6470" priority="6432" stopIfTrue="1" operator="between">
      <formula>0</formula>
      <formula>0.5</formula>
    </cfRule>
  </conditionalFormatting>
  <conditionalFormatting sqref="AF204">
    <cfRule type="cellIs" dxfId="6469" priority="6418" operator="between">
      <formula>0.76</formula>
      <formula>0.95</formula>
    </cfRule>
    <cfRule type="cellIs" dxfId="6468" priority="6419" operator="between">
      <formula>0.51</formula>
      <formula>0.75</formula>
    </cfRule>
    <cfRule type="cellIs" dxfId="6467" priority="6420" operator="greaterThan">
      <formula>1</formula>
    </cfRule>
    <cfRule type="cellIs" dxfId="6466" priority="6421" operator="between">
      <formula>0.95</formula>
      <formula>1</formula>
    </cfRule>
    <cfRule type="cellIs" dxfId="6465" priority="6422" stopIfTrue="1" operator="between">
      <formula>0</formula>
      <formula>0.5</formula>
    </cfRule>
  </conditionalFormatting>
  <conditionalFormatting sqref="AF205">
    <cfRule type="cellIs" dxfId="6464" priority="6413" operator="between">
      <formula>0.76</formula>
      <formula>0.95</formula>
    </cfRule>
    <cfRule type="cellIs" dxfId="6463" priority="6414" operator="between">
      <formula>0.51</formula>
      <formula>0.75</formula>
    </cfRule>
    <cfRule type="cellIs" dxfId="6462" priority="6415" operator="greaterThan">
      <formula>1</formula>
    </cfRule>
    <cfRule type="cellIs" dxfId="6461" priority="6416" operator="between">
      <formula>0.95</formula>
      <formula>1</formula>
    </cfRule>
    <cfRule type="cellIs" dxfId="6460" priority="6417" stopIfTrue="1" operator="between">
      <formula>0</formula>
      <formula>0.5</formula>
    </cfRule>
  </conditionalFormatting>
  <conditionalFormatting sqref="AF206">
    <cfRule type="cellIs" dxfId="6459" priority="6408" operator="between">
      <formula>0.76</formula>
      <formula>0.95</formula>
    </cfRule>
    <cfRule type="cellIs" dxfId="6458" priority="6409" operator="between">
      <formula>0.51</formula>
      <formula>0.75</formula>
    </cfRule>
    <cfRule type="cellIs" dxfId="6457" priority="6410" operator="greaterThan">
      <formula>1</formula>
    </cfRule>
    <cfRule type="cellIs" dxfId="6456" priority="6411" operator="between">
      <formula>0.95</formula>
      <formula>1</formula>
    </cfRule>
    <cfRule type="cellIs" dxfId="6455" priority="6412" stopIfTrue="1" operator="between">
      <formula>0</formula>
      <formula>0.5</formula>
    </cfRule>
  </conditionalFormatting>
  <conditionalFormatting sqref="AF207">
    <cfRule type="cellIs" dxfId="6454" priority="6403" operator="between">
      <formula>0.76</formula>
      <formula>0.95</formula>
    </cfRule>
    <cfRule type="cellIs" dxfId="6453" priority="6404" operator="between">
      <formula>0.51</formula>
      <formula>0.75</formula>
    </cfRule>
    <cfRule type="cellIs" dxfId="6452" priority="6405" operator="greaterThan">
      <formula>1</formula>
    </cfRule>
    <cfRule type="cellIs" dxfId="6451" priority="6406" operator="between">
      <formula>0.95</formula>
      <formula>1</formula>
    </cfRule>
    <cfRule type="cellIs" dxfId="6450" priority="6407" stopIfTrue="1" operator="between">
      <formula>0</formula>
      <formula>0.5</formula>
    </cfRule>
  </conditionalFormatting>
  <conditionalFormatting sqref="AF208">
    <cfRule type="cellIs" dxfId="6449" priority="6398" operator="between">
      <formula>0.76</formula>
      <formula>0.95</formula>
    </cfRule>
    <cfRule type="cellIs" dxfId="6448" priority="6399" operator="between">
      <formula>0.51</formula>
      <formula>0.75</formula>
    </cfRule>
    <cfRule type="cellIs" dxfId="6447" priority="6400" operator="greaterThan">
      <formula>1</formula>
    </cfRule>
    <cfRule type="cellIs" dxfId="6446" priority="6401" operator="between">
      <formula>0.95</formula>
      <formula>1</formula>
    </cfRule>
    <cfRule type="cellIs" dxfId="6445" priority="6402" stopIfTrue="1" operator="between">
      <formula>0</formula>
      <formula>0.5</formula>
    </cfRule>
  </conditionalFormatting>
  <conditionalFormatting sqref="AF209">
    <cfRule type="cellIs" dxfId="6444" priority="6393" operator="between">
      <formula>0.76</formula>
      <formula>0.95</formula>
    </cfRule>
    <cfRule type="cellIs" dxfId="6443" priority="6394" operator="between">
      <formula>0.51</formula>
      <formula>0.75</formula>
    </cfRule>
    <cfRule type="cellIs" dxfId="6442" priority="6395" operator="greaterThan">
      <formula>1</formula>
    </cfRule>
    <cfRule type="cellIs" dxfId="6441" priority="6396" operator="between">
      <formula>0.95</formula>
      <formula>1</formula>
    </cfRule>
    <cfRule type="cellIs" dxfId="6440" priority="6397" stopIfTrue="1" operator="between">
      <formula>0</formula>
      <formula>0.5</formula>
    </cfRule>
  </conditionalFormatting>
  <conditionalFormatting sqref="AF210">
    <cfRule type="cellIs" dxfId="6439" priority="6388" operator="between">
      <formula>0.76</formula>
      <formula>0.95</formula>
    </cfRule>
    <cfRule type="cellIs" dxfId="6438" priority="6389" operator="between">
      <formula>0.51</formula>
      <formula>0.75</formula>
    </cfRule>
    <cfRule type="cellIs" dxfId="6437" priority="6390" operator="greaterThan">
      <formula>1</formula>
    </cfRule>
    <cfRule type="cellIs" dxfId="6436" priority="6391" operator="between">
      <formula>0.95</formula>
      <formula>1</formula>
    </cfRule>
    <cfRule type="cellIs" dxfId="6435" priority="6392" stopIfTrue="1" operator="between">
      <formula>0</formula>
      <formula>0.5</formula>
    </cfRule>
  </conditionalFormatting>
  <conditionalFormatting sqref="AF211">
    <cfRule type="cellIs" dxfId="6434" priority="6383" operator="between">
      <formula>0.76</formula>
      <formula>0.95</formula>
    </cfRule>
    <cfRule type="cellIs" dxfId="6433" priority="6384" operator="between">
      <formula>0.51</formula>
      <formula>0.75</formula>
    </cfRule>
    <cfRule type="cellIs" dxfId="6432" priority="6385" operator="greaterThan">
      <formula>1</formula>
    </cfRule>
    <cfRule type="cellIs" dxfId="6431" priority="6386" operator="between">
      <formula>0.95</formula>
      <formula>1</formula>
    </cfRule>
    <cfRule type="cellIs" dxfId="6430" priority="6387" stopIfTrue="1" operator="between">
      <formula>0</formula>
      <formula>0.5</formula>
    </cfRule>
  </conditionalFormatting>
  <conditionalFormatting sqref="AF212">
    <cfRule type="cellIs" dxfId="6429" priority="6378" operator="between">
      <formula>0.76</formula>
      <formula>0.95</formula>
    </cfRule>
    <cfRule type="cellIs" dxfId="6428" priority="6379" operator="between">
      <formula>0.51</formula>
      <formula>0.75</formula>
    </cfRule>
    <cfRule type="cellIs" dxfId="6427" priority="6380" operator="greaterThan">
      <formula>1</formula>
    </cfRule>
    <cfRule type="cellIs" dxfId="6426" priority="6381" operator="between">
      <formula>0.95</formula>
      <formula>1</formula>
    </cfRule>
    <cfRule type="cellIs" dxfId="6425" priority="6382" stopIfTrue="1" operator="between">
      <formula>0</formula>
      <formula>0.5</formula>
    </cfRule>
  </conditionalFormatting>
  <conditionalFormatting sqref="AF213">
    <cfRule type="cellIs" dxfId="6424" priority="6373" operator="between">
      <formula>0.76</formula>
      <formula>0.95</formula>
    </cfRule>
    <cfRule type="cellIs" dxfId="6423" priority="6374" operator="between">
      <formula>0.51</formula>
      <formula>0.75</formula>
    </cfRule>
    <cfRule type="cellIs" dxfId="6422" priority="6375" operator="greaterThan">
      <formula>1</formula>
    </cfRule>
    <cfRule type="cellIs" dxfId="6421" priority="6376" operator="between">
      <formula>0.95</formula>
      <formula>1</formula>
    </cfRule>
    <cfRule type="cellIs" dxfId="6420" priority="6377" stopIfTrue="1" operator="between">
      <formula>0</formula>
      <formula>0.5</formula>
    </cfRule>
  </conditionalFormatting>
  <conditionalFormatting sqref="AF215">
    <cfRule type="cellIs" dxfId="6419" priority="6368" operator="between">
      <formula>0.76</formula>
      <formula>0.95</formula>
    </cfRule>
    <cfRule type="cellIs" dxfId="6418" priority="6369" operator="between">
      <formula>0.51</formula>
      <formula>0.75</formula>
    </cfRule>
    <cfRule type="cellIs" dxfId="6417" priority="6370" operator="greaterThan">
      <formula>1</formula>
    </cfRule>
    <cfRule type="cellIs" dxfId="6416" priority="6371" operator="between">
      <formula>0.95</formula>
      <formula>1</formula>
    </cfRule>
    <cfRule type="cellIs" dxfId="6415" priority="6372" stopIfTrue="1" operator="between">
      <formula>0</formula>
      <formula>0.5</formula>
    </cfRule>
  </conditionalFormatting>
  <conditionalFormatting sqref="AF216">
    <cfRule type="cellIs" dxfId="6414" priority="6363" operator="between">
      <formula>0.76</formula>
      <formula>0.95</formula>
    </cfRule>
    <cfRule type="cellIs" dxfId="6413" priority="6364" operator="between">
      <formula>0.51</formula>
      <formula>0.75</formula>
    </cfRule>
    <cfRule type="cellIs" dxfId="6412" priority="6365" operator="greaterThan">
      <formula>1</formula>
    </cfRule>
    <cfRule type="cellIs" dxfId="6411" priority="6366" operator="between">
      <formula>0.95</formula>
      <formula>1</formula>
    </cfRule>
    <cfRule type="cellIs" dxfId="6410" priority="6367" stopIfTrue="1" operator="between">
      <formula>0</formula>
      <formula>0.5</formula>
    </cfRule>
  </conditionalFormatting>
  <conditionalFormatting sqref="AF217">
    <cfRule type="cellIs" dxfId="6409" priority="6358" operator="between">
      <formula>0.76</formula>
      <formula>0.95</formula>
    </cfRule>
    <cfRule type="cellIs" dxfId="6408" priority="6359" operator="between">
      <formula>0.51</formula>
      <formula>0.75</formula>
    </cfRule>
    <cfRule type="cellIs" dxfId="6407" priority="6360" operator="greaterThan">
      <formula>1</formula>
    </cfRule>
    <cfRule type="cellIs" dxfId="6406" priority="6361" operator="between">
      <formula>0.95</formula>
      <formula>1</formula>
    </cfRule>
    <cfRule type="cellIs" dxfId="6405" priority="6362" stopIfTrue="1" operator="between">
      <formula>0</formula>
      <formula>0.5</formula>
    </cfRule>
  </conditionalFormatting>
  <conditionalFormatting sqref="AF218:AF219">
    <cfRule type="cellIs" dxfId="6404" priority="6353" operator="between">
      <formula>0.76</formula>
      <formula>0.95</formula>
    </cfRule>
    <cfRule type="cellIs" dxfId="6403" priority="6354" operator="between">
      <formula>0.51</formula>
      <formula>0.75</formula>
    </cfRule>
    <cfRule type="cellIs" dxfId="6402" priority="6355" operator="greaterThan">
      <formula>1</formula>
    </cfRule>
    <cfRule type="cellIs" dxfId="6401" priority="6356" operator="between">
      <formula>0.95</formula>
      <formula>1</formula>
    </cfRule>
    <cfRule type="cellIs" dxfId="6400" priority="6357" stopIfTrue="1" operator="between">
      <formula>0</formula>
      <formula>0.5</formula>
    </cfRule>
  </conditionalFormatting>
  <conditionalFormatting sqref="AF220">
    <cfRule type="cellIs" dxfId="6399" priority="6343" operator="between">
      <formula>0.76</formula>
      <formula>0.95</formula>
    </cfRule>
    <cfRule type="cellIs" dxfId="6398" priority="6344" operator="between">
      <formula>0.51</formula>
      <formula>0.75</formula>
    </cfRule>
    <cfRule type="cellIs" dxfId="6397" priority="6345" operator="greaterThan">
      <formula>1</formula>
    </cfRule>
    <cfRule type="cellIs" dxfId="6396" priority="6346" operator="between">
      <formula>0.95</formula>
      <formula>1</formula>
    </cfRule>
    <cfRule type="cellIs" dxfId="6395" priority="6347" stopIfTrue="1" operator="between">
      <formula>0</formula>
      <formula>0.5</formula>
    </cfRule>
  </conditionalFormatting>
  <conditionalFormatting sqref="AF221">
    <cfRule type="cellIs" dxfId="6394" priority="6338" operator="between">
      <formula>0.76</formula>
      <formula>0.95</formula>
    </cfRule>
    <cfRule type="cellIs" dxfId="6393" priority="6339" operator="between">
      <formula>0.51</formula>
      <formula>0.75</formula>
    </cfRule>
    <cfRule type="cellIs" dxfId="6392" priority="6340" operator="greaterThan">
      <formula>1</formula>
    </cfRule>
    <cfRule type="cellIs" dxfId="6391" priority="6341" operator="between">
      <formula>0.95</formula>
      <formula>1</formula>
    </cfRule>
    <cfRule type="cellIs" dxfId="6390" priority="6342" stopIfTrue="1" operator="between">
      <formula>0</formula>
      <formula>0.5</formula>
    </cfRule>
  </conditionalFormatting>
  <conditionalFormatting sqref="AF222">
    <cfRule type="cellIs" dxfId="6389" priority="6333" operator="between">
      <formula>0.76</formula>
      <formula>0.95</formula>
    </cfRule>
    <cfRule type="cellIs" dxfId="6388" priority="6334" operator="between">
      <formula>0.51</formula>
      <formula>0.75</formula>
    </cfRule>
    <cfRule type="cellIs" dxfId="6387" priority="6335" operator="greaterThan">
      <formula>1</formula>
    </cfRule>
    <cfRule type="cellIs" dxfId="6386" priority="6336" operator="between">
      <formula>0.95</formula>
      <formula>1</formula>
    </cfRule>
    <cfRule type="cellIs" dxfId="6385" priority="6337" stopIfTrue="1" operator="between">
      <formula>0</formula>
      <formula>0.5</formula>
    </cfRule>
  </conditionalFormatting>
  <conditionalFormatting sqref="AF223">
    <cfRule type="cellIs" dxfId="6384" priority="6328" operator="between">
      <formula>0.76</formula>
      <formula>0.95</formula>
    </cfRule>
    <cfRule type="cellIs" dxfId="6383" priority="6329" operator="between">
      <formula>0.51</formula>
      <formula>0.75</formula>
    </cfRule>
    <cfRule type="cellIs" dxfId="6382" priority="6330" operator="greaterThan">
      <formula>1</formula>
    </cfRule>
    <cfRule type="cellIs" dxfId="6381" priority="6331" operator="between">
      <formula>0.95</formula>
      <formula>1</formula>
    </cfRule>
    <cfRule type="cellIs" dxfId="6380" priority="6332" stopIfTrue="1" operator="between">
      <formula>0</formula>
      <formula>0.5</formula>
    </cfRule>
  </conditionalFormatting>
  <conditionalFormatting sqref="AF224">
    <cfRule type="cellIs" dxfId="6379" priority="6323" operator="between">
      <formula>0.76</formula>
      <formula>0.95</formula>
    </cfRule>
    <cfRule type="cellIs" dxfId="6378" priority="6324" operator="between">
      <formula>0.51</formula>
      <formula>0.75</formula>
    </cfRule>
    <cfRule type="cellIs" dxfId="6377" priority="6325" operator="greaterThan">
      <formula>1</formula>
    </cfRule>
    <cfRule type="cellIs" dxfId="6376" priority="6326" operator="between">
      <formula>0.95</formula>
      <formula>1</formula>
    </cfRule>
    <cfRule type="cellIs" dxfId="6375" priority="6327" stopIfTrue="1" operator="between">
      <formula>0</formula>
      <formula>0.5</formula>
    </cfRule>
  </conditionalFormatting>
  <conditionalFormatting sqref="AD206">
    <cfRule type="cellIs" dxfId="6374" priority="4685" operator="between">
      <formula>0.76</formula>
      <formula>0.95</formula>
    </cfRule>
    <cfRule type="cellIs" dxfId="6373" priority="4686" operator="between">
      <formula>0.51</formula>
      <formula>0.75</formula>
    </cfRule>
    <cfRule type="cellIs" dxfId="6372" priority="4687" operator="greaterThan">
      <formula>1</formula>
    </cfRule>
    <cfRule type="cellIs" dxfId="6371" priority="4688" operator="between">
      <formula>0.95</formula>
      <formula>1</formula>
    </cfRule>
    <cfRule type="cellIs" dxfId="6370" priority="4689" stopIfTrue="1" operator="between">
      <formula>0</formula>
      <formula>0.5</formula>
    </cfRule>
  </conditionalFormatting>
  <conditionalFormatting sqref="AF134">
    <cfRule type="cellIs" dxfId="6369" priority="4680" operator="between">
      <formula>0.76</formula>
      <formula>0.95</formula>
    </cfRule>
    <cfRule type="cellIs" dxfId="6368" priority="4681" operator="between">
      <formula>0.51</formula>
      <formula>0.75</formula>
    </cfRule>
    <cfRule type="cellIs" dxfId="6367" priority="4682" operator="greaterThan">
      <formula>1</formula>
    </cfRule>
    <cfRule type="cellIs" dxfId="6366" priority="4683" operator="between">
      <formula>0.95</formula>
      <formula>1</formula>
    </cfRule>
    <cfRule type="cellIs" dxfId="6365" priority="4684" stopIfTrue="1" operator="between">
      <formula>0</formula>
      <formula>0.5</formula>
    </cfRule>
  </conditionalFormatting>
  <conditionalFormatting sqref="K15">
    <cfRule type="cellIs" dxfId="6364" priority="4675" operator="between">
      <formula>0.191</formula>
      <formula>0.24</formula>
    </cfRule>
    <cfRule type="cellIs" dxfId="6363" priority="4676" operator="between">
      <formula>0.1251</formula>
      <formula>0.19</formula>
    </cfRule>
    <cfRule type="cellIs" dxfId="6362" priority="4677" operator="greaterThan">
      <formula>0.2601</formula>
    </cfRule>
    <cfRule type="cellIs" dxfId="6361" priority="4678" operator="between">
      <formula>0.2401</formula>
      <formula>0.26</formula>
    </cfRule>
    <cfRule type="cellIs" dxfId="6360" priority="4679" stopIfTrue="1" operator="between">
      <formula>0</formula>
      <formula>0.125</formula>
    </cfRule>
  </conditionalFormatting>
  <conditionalFormatting sqref="K16:M16 L17:M36 L38:M64 L66:M76 L78:M97 L99:M105 L107:M122 L124:M145 L147:M154 L156:M166 L168:M176 L179:M202 L204:M205 L207:M209 L211:M217 L220:M222">
    <cfRule type="cellIs" dxfId="6359" priority="4660" operator="between">
      <formula>0.191</formula>
      <formula>0.24</formula>
    </cfRule>
    <cfRule type="cellIs" dxfId="6358" priority="4661" operator="between">
      <formula>0.1251</formula>
      <formula>0.19</formula>
    </cfRule>
    <cfRule type="cellIs" dxfId="6357" priority="4662" operator="greaterThan">
      <formula>0.2601</formula>
    </cfRule>
    <cfRule type="cellIs" dxfId="6356" priority="4663" operator="between">
      <formula>0.2401</formula>
      <formula>0.26</formula>
    </cfRule>
    <cfRule type="cellIs" dxfId="6355" priority="4664" stopIfTrue="1" operator="between">
      <formula>0</formula>
      <formula>0.125</formula>
    </cfRule>
  </conditionalFormatting>
  <conditionalFormatting sqref="K17">
    <cfRule type="cellIs" dxfId="6354" priority="4655" operator="between">
      <formula>0.191</formula>
      <formula>0.24</formula>
    </cfRule>
    <cfRule type="cellIs" dxfId="6353" priority="4656" operator="between">
      <formula>0.1251</formula>
      <formula>0.19</formula>
    </cfRule>
    <cfRule type="cellIs" dxfId="6352" priority="4657" operator="greaterThan">
      <formula>0.2601</formula>
    </cfRule>
    <cfRule type="cellIs" dxfId="6351" priority="4658" operator="between">
      <formula>0.2401</formula>
      <formula>0.26</formula>
    </cfRule>
    <cfRule type="cellIs" dxfId="6350" priority="4659" stopIfTrue="1" operator="between">
      <formula>0</formula>
      <formula>0.125</formula>
    </cfRule>
  </conditionalFormatting>
  <conditionalFormatting sqref="K18">
    <cfRule type="cellIs" dxfId="6349" priority="4650" operator="between">
      <formula>0.191</formula>
      <formula>0.24</formula>
    </cfRule>
    <cfRule type="cellIs" dxfId="6348" priority="4651" operator="between">
      <formula>0.1251</formula>
      <formula>0.19</formula>
    </cfRule>
    <cfRule type="cellIs" dxfId="6347" priority="4652" operator="greaterThan">
      <formula>0.2601</formula>
    </cfRule>
    <cfRule type="cellIs" dxfId="6346" priority="4653" operator="between">
      <formula>0.2401</formula>
      <formula>0.26</formula>
    </cfRule>
    <cfRule type="cellIs" dxfId="6345" priority="4654" stopIfTrue="1" operator="between">
      <formula>0</formula>
      <formula>0.125</formula>
    </cfRule>
  </conditionalFormatting>
  <conditionalFormatting sqref="K19">
    <cfRule type="cellIs" dxfId="6344" priority="4645" operator="between">
      <formula>0.191</formula>
      <formula>0.24</formula>
    </cfRule>
    <cfRule type="cellIs" dxfId="6343" priority="4646" operator="between">
      <formula>0.1251</formula>
      <formula>0.19</formula>
    </cfRule>
    <cfRule type="cellIs" dxfId="6342" priority="4647" operator="greaterThan">
      <formula>0.2601</formula>
    </cfRule>
    <cfRule type="cellIs" dxfId="6341" priority="4648" operator="between">
      <formula>0.2401</formula>
      <formula>0.26</formula>
    </cfRule>
    <cfRule type="cellIs" dxfId="6340" priority="4649" stopIfTrue="1" operator="between">
      <formula>0</formula>
      <formula>0.125</formula>
    </cfRule>
  </conditionalFormatting>
  <conditionalFormatting sqref="K20">
    <cfRule type="cellIs" dxfId="6339" priority="4640" operator="between">
      <formula>0.191</formula>
      <formula>0.24</formula>
    </cfRule>
    <cfRule type="cellIs" dxfId="6338" priority="4641" operator="between">
      <formula>0.1251</formula>
      <formula>0.19</formula>
    </cfRule>
    <cfRule type="cellIs" dxfId="6337" priority="4642" operator="greaterThan">
      <formula>0.2601</formula>
    </cfRule>
    <cfRule type="cellIs" dxfId="6336" priority="4643" operator="between">
      <formula>0.2401</formula>
      <formula>0.26</formula>
    </cfRule>
    <cfRule type="cellIs" dxfId="6335" priority="4644" stopIfTrue="1" operator="between">
      <formula>0</formula>
      <formula>0.125</formula>
    </cfRule>
  </conditionalFormatting>
  <conditionalFormatting sqref="K21">
    <cfRule type="cellIs" dxfId="6334" priority="4635" operator="between">
      <formula>0.191</formula>
      <formula>0.24</formula>
    </cfRule>
    <cfRule type="cellIs" dxfId="6333" priority="4636" operator="between">
      <formula>0.1251</formula>
      <formula>0.19</formula>
    </cfRule>
    <cfRule type="cellIs" dxfId="6332" priority="4637" operator="greaterThan">
      <formula>0.2601</formula>
    </cfRule>
    <cfRule type="cellIs" dxfId="6331" priority="4638" operator="between">
      <formula>0.2401</formula>
      <formula>0.26</formula>
    </cfRule>
    <cfRule type="cellIs" dxfId="6330" priority="4639" stopIfTrue="1" operator="between">
      <formula>0</formula>
      <formula>0.125</formula>
    </cfRule>
  </conditionalFormatting>
  <conditionalFormatting sqref="K22">
    <cfRule type="cellIs" dxfId="6329" priority="4630" operator="between">
      <formula>0.191</formula>
      <formula>0.24</formula>
    </cfRule>
    <cfRule type="cellIs" dxfId="6328" priority="4631" operator="between">
      <formula>0.1251</formula>
      <formula>0.19</formula>
    </cfRule>
    <cfRule type="cellIs" dxfId="6327" priority="4632" operator="greaterThan">
      <formula>0.2601</formula>
    </cfRule>
    <cfRule type="cellIs" dxfId="6326" priority="4633" operator="between">
      <formula>0.2401</formula>
      <formula>0.26</formula>
    </cfRule>
    <cfRule type="cellIs" dxfId="6325" priority="4634" stopIfTrue="1" operator="between">
      <formula>0</formula>
      <formula>0.125</formula>
    </cfRule>
  </conditionalFormatting>
  <conditionalFormatting sqref="K23">
    <cfRule type="cellIs" dxfId="6324" priority="4625" operator="between">
      <formula>0.191</formula>
      <formula>0.24</formula>
    </cfRule>
    <cfRule type="cellIs" dxfId="6323" priority="4626" operator="between">
      <formula>0.1251</formula>
      <formula>0.19</formula>
    </cfRule>
    <cfRule type="cellIs" dxfId="6322" priority="4627" operator="greaterThan">
      <formula>0.2601</formula>
    </cfRule>
    <cfRule type="cellIs" dxfId="6321" priority="4628" operator="between">
      <formula>0.2401</formula>
      <formula>0.26</formula>
    </cfRule>
    <cfRule type="cellIs" dxfId="6320" priority="4629" stopIfTrue="1" operator="between">
      <formula>0</formula>
      <formula>0.125</formula>
    </cfRule>
  </conditionalFormatting>
  <conditionalFormatting sqref="K25">
    <cfRule type="cellIs" dxfId="6319" priority="4620" operator="between">
      <formula>0.191</formula>
      <formula>0.24</formula>
    </cfRule>
    <cfRule type="cellIs" dxfId="6318" priority="4621" operator="between">
      <formula>0.1251</formula>
      <formula>0.19</formula>
    </cfRule>
    <cfRule type="cellIs" dxfId="6317" priority="4622" operator="greaterThan">
      <formula>0.2601</formula>
    </cfRule>
    <cfRule type="cellIs" dxfId="6316" priority="4623" operator="between">
      <formula>0.2401</formula>
      <formula>0.26</formula>
    </cfRule>
    <cfRule type="cellIs" dxfId="6315" priority="4624" stopIfTrue="1" operator="between">
      <formula>0</formula>
      <formula>0.125</formula>
    </cfRule>
  </conditionalFormatting>
  <conditionalFormatting sqref="K26">
    <cfRule type="cellIs" dxfId="6314" priority="4615" operator="between">
      <formula>0.191</formula>
      <formula>0.24</formula>
    </cfRule>
    <cfRule type="cellIs" dxfId="6313" priority="4616" operator="between">
      <formula>0.1251</formula>
      <formula>0.19</formula>
    </cfRule>
    <cfRule type="cellIs" dxfId="6312" priority="4617" operator="greaterThan">
      <formula>0.2601</formula>
    </cfRule>
    <cfRule type="cellIs" dxfId="6311" priority="4618" operator="between">
      <formula>0.2401</formula>
      <formula>0.26</formula>
    </cfRule>
    <cfRule type="cellIs" dxfId="6310" priority="4619" stopIfTrue="1" operator="between">
      <formula>0</formula>
      <formula>0.125</formula>
    </cfRule>
  </conditionalFormatting>
  <conditionalFormatting sqref="K27">
    <cfRule type="cellIs" dxfId="6309" priority="4610" operator="between">
      <formula>0.191</formula>
      <formula>0.24</formula>
    </cfRule>
    <cfRule type="cellIs" dxfId="6308" priority="4611" operator="between">
      <formula>0.1251</formula>
      <formula>0.19</formula>
    </cfRule>
    <cfRule type="cellIs" dxfId="6307" priority="4612" operator="greaterThan">
      <formula>0.2601</formula>
    </cfRule>
    <cfRule type="cellIs" dxfId="6306" priority="4613" operator="between">
      <formula>0.2401</formula>
      <formula>0.26</formula>
    </cfRule>
    <cfRule type="cellIs" dxfId="6305" priority="4614" stopIfTrue="1" operator="between">
      <formula>0</formula>
      <formula>0.125</formula>
    </cfRule>
  </conditionalFormatting>
  <conditionalFormatting sqref="K28">
    <cfRule type="cellIs" dxfId="6304" priority="4605" operator="between">
      <formula>0.191</formula>
      <formula>0.24</formula>
    </cfRule>
    <cfRule type="cellIs" dxfId="6303" priority="4606" operator="between">
      <formula>0.1251</formula>
      <formula>0.19</formula>
    </cfRule>
    <cfRule type="cellIs" dxfId="6302" priority="4607" operator="greaterThan">
      <formula>0.2601</formula>
    </cfRule>
    <cfRule type="cellIs" dxfId="6301" priority="4608" operator="between">
      <formula>0.2401</formula>
      <formula>0.26</formula>
    </cfRule>
    <cfRule type="cellIs" dxfId="6300" priority="4609" stopIfTrue="1" operator="between">
      <formula>0</formula>
      <formula>0.125</formula>
    </cfRule>
  </conditionalFormatting>
  <conditionalFormatting sqref="K29">
    <cfRule type="cellIs" dxfId="6299" priority="4600" operator="between">
      <formula>0.191</formula>
      <formula>0.24</formula>
    </cfRule>
    <cfRule type="cellIs" dxfId="6298" priority="4601" operator="between">
      <formula>0.1251</formula>
      <formula>0.19</formula>
    </cfRule>
    <cfRule type="cellIs" dxfId="6297" priority="4602" operator="greaterThan">
      <formula>0.2601</formula>
    </cfRule>
    <cfRule type="cellIs" dxfId="6296" priority="4603" operator="between">
      <formula>0.2401</formula>
      <formula>0.26</formula>
    </cfRule>
    <cfRule type="cellIs" dxfId="6295" priority="4604" stopIfTrue="1" operator="between">
      <formula>0</formula>
      <formula>0.125</formula>
    </cfRule>
  </conditionalFormatting>
  <conditionalFormatting sqref="K30">
    <cfRule type="cellIs" dxfId="6294" priority="4595" operator="between">
      <formula>0.191</formula>
      <formula>0.24</formula>
    </cfRule>
    <cfRule type="cellIs" dxfId="6293" priority="4596" operator="between">
      <formula>0.1251</formula>
      <formula>0.19</formula>
    </cfRule>
    <cfRule type="cellIs" dxfId="6292" priority="4597" operator="greaterThan">
      <formula>0.2601</formula>
    </cfRule>
    <cfRule type="cellIs" dxfId="6291" priority="4598" operator="between">
      <formula>0.2401</formula>
      <formula>0.26</formula>
    </cfRule>
    <cfRule type="cellIs" dxfId="6290" priority="4599" stopIfTrue="1" operator="between">
      <formula>0</formula>
      <formula>0.125</formula>
    </cfRule>
  </conditionalFormatting>
  <conditionalFormatting sqref="K31">
    <cfRule type="cellIs" dxfId="6289" priority="4590" operator="between">
      <formula>0.191</formula>
      <formula>0.24</formula>
    </cfRule>
    <cfRule type="cellIs" dxfId="6288" priority="4591" operator="between">
      <formula>0.1251</formula>
      <formula>0.19</formula>
    </cfRule>
    <cfRule type="cellIs" dxfId="6287" priority="4592" operator="greaterThan">
      <formula>0.2601</formula>
    </cfRule>
    <cfRule type="cellIs" dxfId="6286" priority="4593" operator="between">
      <formula>0.2401</formula>
      <formula>0.26</formula>
    </cfRule>
    <cfRule type="cellIs" dxfId="6285" priority="4594" stopIfTrue="1" operator="between">
      <formula>0</formula>
      <formula>0.125</formula>
    </cfRule>
  </conditionalFormatting>
  <conditionalFormatting sqref="K35">
    <cfRule type="cellIs" dxfId="6284" priority="4585" operator="between">
      <formula>0.191</formula>
      <formula>0.24</formula>
    </cfRule>
    <cfRule type="cellIs" dxfId="6283" priority="4586" operator="between">
      <formula>0.1251</formula>
      <formula>0.19</formula>
    </cfRule>
    <cfRule type="cellIs" dxfId="6282" priority="4587" operator="greaterThan">
      <formula>0.2601</formula>
    </cfRule>
    <cfRule type="cellIs" dxfId="6281" priority="4588" operator="between">
      <formula>0.2401</formula>
      <formula>0.26</formula>
    </cfRule>
    <cfRule type="cellIs" dxfId="6280" priority="4589" stopIfTrue="1" operator="between">
      <formula>0</formula>
      <formula>0.125</formula>
    </cfRule>
  </conditionalFormatting>
  <conditionalFormatting sqref="K36">
    <cfRule type="cellIs" dxfId="6279" priority="4580" operator="between">
      <formula>0.191</formula>
      <formula>0.24</formula>
    </cfRule>
    <cfRule type="cellIs" dxfId="6278" priority="4581" operator="between">
      <formula>0.1251</formula>
      <formula>0.19</formula>
    </cfRule>
    <cfRule type="cellIs" dxfId="6277" priority="4582" operator="greaterThan">
      <formula>0.2601</formula>
    </cfRule>
    <cfRule type="cellIs" dxfId="6276" priority="4583" operator="between">
      <formula>0.2401</formula>
      <formula>0.26</formula>
    </cfRule>
    <cfRule type="cellIs" dxfId="6275" priority="4584" stopIfTrue="1" operator="between">
      <formula>0</formula>
      <formula>0.125</formula>
    </cfRule>
  </conditionalFormatting>
  <conditionalFormatting sqref="K37">
    <cfRule type="cellIs" dxfId="6274" priority="4575" operator="between">
      <formula>0.191</formula>
      <formula>0.24</formula>
    </cfRule>
    <cfRule type="cellIs" dxfId="6273" priority="4576" operator="between">
      <formula>0.1251</formula>
      <formula>0.19</formula>
    </cfRule>
    <cfRule type="cellIs" dxfId="6272" priority="4577" operator="greaterThan">
      <formula>0.2601</formula>
    </cfRule>
    <cfRule type="cellIs" dxfId="6271" priority="4578" operator="between">
      <formula>0.2401</formula>
      <formula>0.26</formula>
    </cfRule>
    <cfRule type="cellIs" dxfId="6270" priority="4579" stopIfTrue="1" operator="between">
      <formula>0</formula>
      <formula>0.125</formula>
    </cfRule>
  </conditionalFormatting>
  <conditionalFormatting sqref="K38">
    <cfRule type="cellIs" dxfId="6269" priority="4570" operator="between">
      <formula>0.191</formula>
      <formula>0.24</formula>
    </cfRule>
    <cfRule type="cellIs" dxfId="6268" priority="4571" operator="between">
      <formula>0.1251</formula>
      <formula>0.19</formula>
    </cfRule>
    <cfRule type="cellIs" dxfId="6267" priority="4572" operator="greaterThan">
      <formula>0.2601</formula>
    </cfRule>
    <cfRule type="cellIs" dxfId="6266" priority="4573" operator="between">
      <formula>0.2401</formula>
      <formula>0.26</formula>
    </cfRule>
    <cfRule type="cellIs" dxfId="6265" priority="4574" stopIfTrue="1" operator="between">
      <formula>0</formula>
      <formula>0.125</formula>
    </cfRule>
  </conditionalFormatting>
  <conditionalFormatting sqref="K39">
    <cfRule type="cellIs" dxfId="6264" priority="4565" operator="between">
      <formula>0.191</formula>
      <formula>0.24</formula>
    </cfRule>
    <cfRule type="cellIs" dxfId="6263" priority="4566" operator="between">
      <formula>0.1251</formula>
      <formula>0.19</formula>
    </cfRule>
    <cfRule type="cellIs" dxfId="6262" priority="4567" operator="greaterThan">
      <formula>0.2601</formula>
    </cfRule>
    <cfRule type="cellIs" dxfId="6261" priority="4568" operator="between">
      <formula>0.2401</formula>
      <formula>0.26</formula>
    </cfRule>
    <cfRule type="cellIs" dxfId="6260" priority="4569" stopIfTrue="1" operator="between">
      <formula>0</formula>
      <formula>0.125</formula>
    </cfRule>
  </conditionalFormatting>
  <conditionalFormatting sqref="K40">
    <cfRule type="cellIs" dxfId="6259" priority="4560" operator="between">
      <formula>0.191</formula>
      <formula>0.24</formula>
    </cfRule>
    <cfRule type="cellIs" dxfId="6258" priority="4561" operator="between">
      <formula>0.1251</formula>
      <formula>0.19</formula>
    </cfRule>
    <cfRule type="cellIs" dxfId="6257" priority="4562" operator="greaterThan">
      <formula>0.2601</formula>
    </cfRule>
    <cfRule type="cellIs" dxfId="6256" priority="4563" operator="between">
      <formula>0.2401</formula>
      <formula>0.26</formula>
    </cfRule>
    <cfRule type="cellIs" dxfId="6255" priority="4564" stopIfTrue="1" operator="between">
      <formula>0</formula>
      <formula>0.125</formula>
    </cfRule>
  </conditionalFormatting>
  <conditionalFormatting sqref="K41">
    <cfRule type="cellIs" dxfId="6254" priority="4555" operator="between">
      <formula>0.191</formula>
      <formula>0.24</formula>
    </cfRule>
    <cfRule type="cellIs" dxfId="6253" priority="4556" operator="between">
      <formula>0.1251</formula>
      <formula>0.19</formula>
    </cfRule>
    <cfRule type="cellIs" dxfId="6252" priority="4557" operator="greaterThan">
      <formula>0.2601</formula>
    </cfRule>
    <cfRule type="cellIs" dxfId="6251" priority="4558" operator="between">
      <formula>0.2401</formula>
      <formula>0.26</formula>
    </cfRule>
    <cfRule type="cellIs" dxfId="6250" priority="4559" stopIfTrue="1" operator="between">
      <formula>0</formula>
      <formula>0.125</formula>
    </cfRule>
  </conditionalFormatting>
  <conditionalFormatting sqref="K42">
    <cfRule type="cellIs" dxfId="6249" priority="4550" operator="between">
      <formula>0.191</formula>
      <formula>0.24</formula>
    </cfRule>
    <cfRule type="cellIs" dxfId="6248" priority="4551" operator="between">
      <formula>0.1251</formula>
      <formula>0.19</formula>
    </cfRule>
    <cfRule type="cellIs" dxfId="6247" priority="4552" operator="greaterThan">
      <formula>0.2601</formula>
    </cfRule>
    <cfRule type="cellIs" dxfId="6246" priority="4553" operator="between">
      <formula>0.2401</formula>
      <formula>0.26</formula>
    </cfRule>
    <cfRule type="cellIs" dxfId="6245" priority="4554" stopIfTrue="1" operator="between">
      <formula>0</formula>
      <formula>0.125</formula>
    </cfRule>
  </conditionalFormatting>
  <conditionalFormatting sqref="K43">
    <cfRule type="cellIs" dxfId="6244" priority="4545" operator="between">
      <formula>0.191</formula>
      <formula>0.24</formula>
    </cfRule>
    <cfRule type="cellIs" dxfId="6243" priority="4546" operator="between">
      <formula>0.1251</formula>
      <formula>0.19</formula>
    </cfRule>
    <cfRule type="cellIs" dxfId="6242" priority="4547" operator="greaterThan">
      <formula>0.2601</formula>
    </cfRule>
    <cfRule type="cellIs" dxfId="6241" priority="4548" operator="between">
      <formula>0.2401</formula>
      <formula>0.26</formula>
    </cfRule>
    <cfRule type="cellIs" dxfId="6240" priority="4549" stopIfTrue="1" operator="between">
      <formula>0</formula>
      <formula>0.125</formula>
    </cfRule>
  </conditionalFormatting>
  <conditionalFormatting sqref="K44">
    <cfRule type="cellIs" dxfId="6239" priority="4540" operator="between">
      <formula>0.191</formula>
      <formula>0.24</formula>
    </cfRule>
    <cfRule type="cellIs" dxfId="6238" priority="4541" operator="between">
      <formula>0.1251</formula>
      <formula>0.19</formula>
    </cfRule>
    <cfRule type="cellIs" dxfId="6237" priority="4542" operator="greaterThan">
      <formula>0.2601</formula>
    </cfRule>
    <cfRule type="cellIs" dxfId="6236" priority="4543" operator="between">
      <formula>0.2401</formula>
      <formula>0.26</formula>
    </cfRule>
    <cfRule type="cellIs" dxfId="6235" priority="4544" stopIfTrue="1" operator="between">
      <formula>0</formula>
      <formula>0.125</formula>
    </cfRule>
  </conditionalFormatting>
  <conditionalFormatting sqref="K45">
    <cfRule type="cellIs" dxfId="6234" priority="4535" operator="between">
      <formula>0.191</formula>
      <formula>0.24</formula>
    </cfRule>
    <cfRule type="cellIs" dxfId="6233" priority="4536" operator="between">
      <formula>0.1251</formula>
      <formula>0.19</formula>
    </cfRule>
    <cfRule type="cellIs" dxfId="6232" priority="4537" operator="greaterThan">
      <formula>0.2601</formula>
    </cfRule>
    <cfRule type="cellIs" dxfId="6231" priority="4538" operator="between">
      <formula>0.2401</formula>
      <formula>0.26</formula>
    </cfRule>
    <cfRule type="cellIs" dxfId="6230" priority="4539" stopIfTrue="1" operator="between">
      <formula>0</formula>
      <formula>0.125</formula>
    </cfRule>
  </conditionalFormatting>
  <conditionalFormatting sqref="K46">
    <cfRule type="cellIs" dxfId="6229" priority="4530" operator="between">
      <formula>0.191</formula>
      <formula>0.24</formula>
    </cfRule>
    <cfRule type="cellIs" dxfId="6228" priority="4531" operator="between">
      <formula>0.1251</formula>
      <formula>0.19</formula>
    </cfRule>
    <cfRule type="cellIs" dxfId="6227" priority="4532" operator="greaterThan">
      <formula>0.2601</formula>
    </cfRule>
    <cfRule type="cellIs" dxfId="6226" priority="4533" operator="between">
      <formula>0.2401</formula>
      <formula>0.26</formula>
    </cfRule>
    <cfRule type="cellIs" dxfId="6225" priority="4534" stopIfTrue="1" operator="between">
      <formula>0</formula>
      <formula>0.125</formula>
    </cfRule>
  </conditionalFormatting>
  <conditionalFormatting sqref="K47">
    <cfRule type="cellIs" dxfId="6224" priority="4525" operator="between">
      <formula>0.191</formula>
      <formula>0.24</formula>
    </cfRule>
    <cfRule type="cellIs" dxfId="6223" priority="4526" operator="between">
      <formula>0.1251</formula>
      <formula>0.19</formula>
    </cfRule>
    <cfRule type="cellIs" dxfId="6222" priority="4527" operator="greaterThan">
      <formula>0.2601</formula>
    </cfRule>
    <cfRule type="cellIs" dxfId="6221" priority="4528" operator="between">
      <formula>0.2401</formula>
      <formula>0.26</formula>
    </cfRule>
    <cfRule type="cellIs" dxfId="6220" priority="4529" stopIfTrue="1" operator="between">
      <formula>0</formula>
      <formula>0.125</formula>
    </cfRule>
  </conditionalFormatting>
  <conditionalFormatting sqref="K48">
    <cfRule type="cellIs" dxfId="6219" priority="4520" operator="between">
      <formula>0.191</formula>
      <formula>0.24</formula>
    </cfRule>
    <cfRule type="cellIs" dxfId="6218" priority="4521" operator="between">
      <formula>0.1251</formula>
      <formula>0.19</formula>
    </cfRule>
    <cfRule type="cellIs" dxfId="6217" priority="4522" operator="greaterThan">
      <formula>0.2601</formula>
    </cfRule>
    <cfRule type="cellIs" dxfId="6216" priority="4523" operator="between">
      <formula>0.2401</formula>
      <formula>0.26</formula>
    </cfRule>
    <cfRule type="cellIs" dxfId="6215" priority="4524" stopIfTrue="1" operator="between">
      <formula>0</formula>
      <formula>0.125</formula>
    </cfRule>
  </conditionalFormatting>
  <conditionalFormatting sqref="K49">
    <cfRule type="cellIs" dxfId="6214" priority="4515" operator="between">
      <formula>0.191</formula>
      <formula>0.24</formula>
    </cfRule>
    <cfRule type="cellIs" dxfId="6213" priority="4516" operator="between">
      <formula>0.1251</formula>
      <formula>0.19</formula>
    </cfRule>
    <cfRule type="cellIs" dxfId="6212" priority="4517" operator="greaterThan">
      <formula>0.2601</formula>
    </cfRule>
    <cfRule type="cellIs" dxfId="6211" priority="4518" operator="between">
      <formula>0.2401</formula>
      <formula>0.26</formula>
    </cfRule>
    <cfRule type="cellIs" dxfId="6210" priority="4519" stopIfTrue="1" operator="between">
      <formula>0</formula>
      <formula>0.125</formula>
    </cfRule>
  </conditionalFormatting>
  <conditionalFormatting sqref="K50">
    <cfRule type="cellIs" dxfId="6209" priority="4510" operator="between">
      <formula>0.191</formula>
      <formula>0.24</formula>
    </cfRule>
    <cfRule type="cellIs" dxfId="6208" priority="4511" operator="between">
      <formula>0.1251</formula>
      <formula>0.19</formula>
    </cfRule>
    <cfRule type="cellIs" dxfId="6207" priority="4512" operator="greaterThan">
      <formula>0.2601</formula>
    </cfRule>
    <cfRule type="cellIs" dxfId="6206" priority="4513" operator="between">
      <formula>0.2401</formula>
      <formula>0.26</formula>
    </cfRule>
    <cfRule type="cellIs" dxfId="6205" priority="4514" stopIfTrue="1" operator="between">
      <formula>0</formula>
      <formula>0.125</formula>
    </cfRule>
  </conditionalFormatting>
  <conditionalFormatting sqref="K51">
    <cfRule type="cellIs" dxfId="6204" priority="4505" operator="between">
      <formula>0.191</formula>
      <formula>0.24</formula>
    </cfRule>
    <cfRule type="cellIs" dxfId="6203" priority="4506" operator="between">
      <formula>0.1251</formula>
      <formula>0.19</formula>
    </cfRule>
    <cfRule type="cellIs" dxfId="6202" priority="4507" operator="greaterThan">
      <formula>0.2601</formula>
    </cfRule>
    <cfRule type="cellIs" dxfId="6201" priority="4508" operator="between">
      <formula>0.2401</formula>
      <formula>0.26</formula>
    </cfRule>
    <cfRule type="cellIs" dxfId="6200" priority="4509" stopIfTrue="1" operator="between">
      <formula>0</formula>
      <formula>0.125</formula>
    </cfRule>
  </conditionalFormatting>
  <conditionalFormatting sqref="K52">
    <cfRule type="cellIs" dxfId="6199" priority="4500" operator="between">
      <formula>0.191</formula>
      <formula>0.24</formula>
    </cfRule>
    <cfRule type="cellIs" dxfId="6198" priority="4501" operator="between">
      <formula>0.1251</formula>
      <formula>0.19</formula>
    </cfRule>
    <cfRule type="cellIs" dxfId="6197" priority="4502" operator="greaterThan">
      <formula>0.2601</formula>
    </cfRule>
    <cfRule type="cellIs" dxfId="6196" priority="4503" operator="between">
      <formula>0.2401</formula>
      <formula>0.26</formula>
    </cfRule>
    <cfRule type="cellIs" dxfId="6195" priority="4504" stopIfTrue="1" operator="between">
      <formula>0</formula>
      <formula>0.125</formula>
    </cfRule>
  </conditionalFormatting>
  <conditionalFormatting sqref="K53">
    <cfRule type="cellIs" dxfId="6194" priority="4495" operator="between">
      <formula>0.191</formula>
      <formula>0.24</formula>
    </cfRule>
    <cfRule type="cellIs" dxfId="6193" priority="4496" operator="between">
      <formula>0.1251</formula>
      <formula>0.19</formula>
    </cfRule>
    <cfRule type="cellIs" dxfId="6192" priority="4497" operator="greaterThan">
      <formula>0.2601</formula>
    </cfRule>
    <cfRule type="cellIs" dxfId="6191" priority="4498" operator="between">
      <formula>0.2401</formula>
      <formula>0.26</formula>
    </cfRule>
    <cfRule type="cellIs" dxfId="6190" priority="4499" stopIfTrue="1" operator="between">
      <formula>0</formula>
      <formula>0.125</formula>
    </cfRule>
  </conditionalFormatting>
  <conditionalFormatting sqref="K54">
    <cfRule type="cellIs" dxfId="6189" priority="4490" operator="between">
      <formula>0.191</formula>
      <formula>0.24</formula>
    </cfRule>
    <cfRule type="cellIs" dxfId="6188" priority="4491" operator="between">
      <formula>0.1251</formula>
      <formula>0.19</formula>
    </cfRule>
    <cfRule type="cellIs" dxfId="6187" priority="4492" operator="greaterThan">
      <formula>0.2601</formula>
    </cfRule>
    <cfRule type="cellIs" dxfId="6186" priority="4493" operator="between">
      <formula>0.2401</formula>
      <formula>0.26</formula>
    </cfRule>
    <cfRule type="cellIs" dxfId="6185" priority="4494" stopIfTrue="1" operator="between">
      <formula>0</formula>
      <formula>0.125</formula>
    </cfRule>
  </conditionalFormatting>
  <conditionalFormatting sqref="K55">
    <cfRule type="cellIs" dxfId="6184" priority="4485" operator="between">
      <formula>0.191</formula>
      <formula>0.24</formula>
    </cfRule>
    <cfRule type="cellIs" dxfId="6183" priority="4486" operator="between">
      <formula>0.1251</formula>
      <formula>0.19</formula>
    </cfRule>
    <cfRule type="cellIs" dxfId="6182" priority="4487" operator="greaterThan">
      <formula>0.2601</formula>
    </cfRule>
    <cfRule type="cellIs" dxfId="6181" priority="4488" operator="between">
      <formula>0.2401</formula>
      <formula>0.26</formula>
    </cfRule>
    <cfRule type="cellIs" dxfId="6180" priority="4489" stopIfTrue="1" operator="between">
      <formula>0</formula>
      <formula>0.125</formula>
    </cfRule>
  </conditionalFormatting>
  <conditionalFormatting sqref="K56">
    <cfRule type="cellIs" dxfId="6179" priority="4480" operator="between">
      <formula>0.191</formula>
      <formula>0.24</formula>
    </cfRule>
    <cfRule type="cellIs" dxfId="6178" priority="4481" operator="between">
      <formula>0.1251</formula>
      <formula>0.19</formula>
    </cfRule>
    <cfRule type="cellIs" dxfId="6177" priority="4482" operator="greaterThan">
      <formula>0.2601</formula>
    </cfRule>
    <cfRule type="cellIs" dxfId="6176" priority="4483" operator="between">
      <formula>0.2401</formula>
      <formula>0.26</formula>
    </cfRule>
    <cfRule type="cellIs" dxfId="6175" priority="4484" stopIfTrue="1" operator="between">
      <formula>0</formula>
      <formula>0.125</formula>
    </cfRule>
  </conditionalFormatting>
  <conditionalFormatting sqref="K57">
    <cfRule type="cellIs" dxfId="6174" priority="4475" operator="between">
      <formula>0.191</formula>
      <formula>0.24</formula>
    </cfRule>
    <cfRule type="cellIs" dxfId="6173" priority="4476" operator="between">
      <formula>0.1251</formula>
      <formula>0.19</formula>
    </cfRule>
    <cfRule type="cellIs" dxfId="6172" priority="4477" operator="greaterThan">
      <formula>0.2601</formula>
    </cfRule>
    <cfRule type="cellIs" dxfId="6171" priority="4478" operator="between">
      <formula>0.2401</formula>
      <formula>0.26</formula>
    </cfRule>
    <cfRule type="cellIs" dxfId="6170" priority="4479" stopIfTrue="1" operator="between">
      <formula>0</formula>
      <formula>0.125</formula>
    </cfRule>
  </conditionalFormatting>
  <conditionalFormatting sqref="K58">
    <cfRule type="cellIs" dxfId="6169" priority="4470" operator="between">
      <formula>0.191</formula>
      <formula>0.24</formula>
    </cfRule>
    <cfRule type="cellIs" dxfId="6168" priority="4471" operator="between">
      <formula>0.1251</formula>
      <formula>0.19</formula>
    </cfRule>
    <cfRule type="cellIs" dxfId="6167" priority="4472" operator="greaterThan">
      <formula>0.2601</formula>
    </cfRule>
    <cfRule type="cellIs" dxfId="6166" priority="4473" operator="between">
      <formula>0.2401</formula>
      <formula>0.26</formula>
    </cfRule>
    <cfRule type="cellIs" dxfId="6165" priority="4474" stopIfTrue="1" operator="between">
      <formula>0</formula>
      <formula>0.125</formula>
    </cfRule>
  </conditionalFormatting>
  <conditionalFormatting sqref="K59">
    <cfRule type="cellIs" dxfId="6164" priority="4460" operator="between">
      <formula>0.191</formula>
      <formula>0.24</formula>
    </cfRule>
    <cfRule type="cellIs" dxfId="6163" priority="4461" operator="between">
      <formula>0.1251</formula>
      <formula>0.19</formula>
    </cfRule>
    <cfRule type="cellIs" dxfId="6162" priority="4462" operator="greaterThan">
      <formula>0.2601</formula>
    </cfRule>
    <cfRule type="cellIs" dxfId="6161" priority="4463" operator="between">
      <formula>0.2401</formula>
      <formula>0.26</formula>
    </cfRule>
    <cfRule type="cellIs" dxfId="6160" priority="4464" stopIfTrue="1" operator="between">
      <formula>0</formula>
      <formula>0.125</formula>
    </cfRule>
  </conditionalFormatting>
  <conditionalFormatting sqref="K60">
    <cfRule type="cellIs" dxfId="6159" priority="4455" operator="between">
      <formula>0.191</formula>
      <formula>0.24</formula>
    </cfRule>
    <cfRule type="cellIs" dxfId="6158" priority="4456" operator="between">
      <formula>0.1251</formula>
      <formula>0.19</formula>
    </cfRule>
    <cfRule type="cellIs" dxfId="6157" priority="4457" operator="greaterThan">
      <formula>0.2601</formula>
    </cfRule>
    <cfRule type="cellIs" dxfId="6156" priority="4458" operator="between">
      <formula>0.2401</formula>
      <formula>0.26</formula>
    </cfRule>
    <cfRule type="cellIs" dxfId="6155" priority="4459" stopIfTrue="1" operator="between">
      <formula>0</formula>
      <formula>0.125</formula>
    </cfRule>
  </conditionalFormatting>
  <conditionalFormatting sqref="K61">
    <cfRule type="cellIs" dxfId="6154" priority="4450" operator="between">
      <formula>0.191</formula>
      <formula>0.24</formula>
    </cfRule>
    <cfRule type="cellIs" dxfId="6153" priority="4451" operator="between">
      <formula>0.1251</formula>
      <formula>0.19</formula>
    </cfRule>
    <cfRule type="cellIs" dxfId="6152" priority="4452" operator="greaterThan">
      <formula>0.2601</formula>
    </cfRule>
    <cfRule type="cellIs" dxfId="6151" priority="4453" operator="between">
      <formula>0.2401</formula>
      <formula>0.26</formula>
    </cfRule>
    <cfRule type="cellIs" dxfId="6150" priority="4454" stopIfTrue="1" operator="between">
      <formula>0</formula>
      <formula>0.125</formula>
    </cfRule>
  </conditionalFormatting>
  <conditionalFormatting sqref="K62">
    <cfRule type="cellIs" dxfId="6149" priority="4445" operator="between">
      <formula>0.191</formula>
      <formula>0.24</formula>
    </cfRule>
    <cfRule type="cellIs" dxfId="6148" priority="4446" operator="between">
      <formula>0.1251</formula>
      <formula>0.19</formula>
    </cfRule>
    <cfRule type="cellIs" dxfId="6147" priority="4447" operator="greaterThan">
      <formula>0.2601</formula>
    </cfRule>
    <cfRule type="cellIs" dxfId="6146" priority="4448" operator="between">
      <formula>0.2401</formula>
      <formula>0.26</formula>
    </cfRule>
    <cfRule type="cellIs" dxfId="6145" priority="4449" stopIfTrue="1" operator="between">
      <formula>0</formula>
      <formula>0.125</formula>
    </cfRule>
  </conditionalFormatting>
  <conditionalFormatting sqref="K64">
    <cfRule type="cellIs" dxfId="6144" priority="4440" operator="between">
      <formula>0.191</formula>
      <formula>0.24</formula>
    </cfRule>
    <cfRule type="cellIs" dxfId="6143" priority="4441" operator="between">
      <formula>0.1251</formula>
      <formula>0.19</formula>
    </cfRule>
    <cfRule type="cellIs" dxfId="6142" priority="4442" operator="greaterThan">
      <formula>0.2601</formula>
    </cfRule>
    <cfRule type="cellIs" dxfId="6141" priority="4443" operator="between">
      <formula>0.2401</formula>
      <formula>0.26</formula>
    </cfRule>
    <cfRule type="cellIs" dxfId="6140" priority="4444" stopIfTrue="1" operator="between">
      <formula>0</formula>
      <formula>0.125</formula>
    </cfRule>
  </conditionalFormatting>
  <conditionalFormatting sqref="K66">
    <cfRule type="cellIs" dxfId="6139" priority="4435" operator="between">
      <formula>0.191</formula>
      <formula>0.24</formula>
    </cfRule>
    <cfRule type="cellIs" dxfId="6138" priority="4436" operator="between">
      <formula>0.1251</formula>
      <formula>0.19</formula>
    </cfRule>
    <cfRule type="cellIs" dxfId="6137" priority="4437" operator="greaterThan">
      <formula>0.2601</formula>
    </cfRule>
    <cfRule type="cellIs" dxfId="6136" priority="4438" operator="between">
      <formula>0.2401</formula>
      <formula>0.26</formula>
    </cfRule>
    <cfRule type="cellIs" dxfId="6135" priority="4439" stopIfTrue="1" operator="between">
      <formula>0</formula>
      <formula>0.125</formula>
    </cfRule>
  </conditionalFormatting>
  <conditionalFormatting sqref="K68">
    <cfRule type="cellIs" dxfId="6134" priority="4425" operator="between">
      <formula>0.191</formula>
      <formula>0.24</formula>
    </cfRule>
    <cfRule type="cellIs" dxfId="6133" priority="4426" operator="between">
      <formula>0.1251</formula>
      <formula>0.19</formula>
    </cfRule>
    <cfRule type="cellIs" dxfId="6132" priority="4427" operator="greaterThan">
      <formula>0.2601</formula>
    </cfRule>
    <cfRule type="cellIs" dxfId="6131" priority="4428" operator="between">
      <formula>0.2401</formula>
      <formula>0.26</formula>
    </cfRule>
    <cfRule type="cellIs" dxfId="6130" priority="4429" stopIfTrue="1" operator="between">
      <formula>0</formula>
      <formula>0.125</formula>
    </cfRule>
  </conditionalFormatting>
  <conditionalFormatting sqref="K69">
    <cfRule type="cellIs" dxfId="6129" priority="4420" operator="between">
      <formula>0.191</formula>
      <formula>0.24</formula>
    </cfRule>
    <cfRule type="cellIs" dxfId="6128" priority="4421" operator="between">
      <formula>0.1251</formula>
      <formula>0.19</formula>
    </cfRule>
    <cfRule type="cellIs" dxfId="6127" priority="4422" operator="greaterThan">
      <formula>0.2601</formula>
    </cfRule>
    <cfRule type="cellIs" dxfId="6126" priority="4423" operator="between">
      <formula>0.2401</formula>
      <formula>0.26</formula>
    </cfRule>
    <cfRule type="cellIs" dxfId="6125" priority="4424" stopIfTrue="1" operator="between">
      <formula>0</formula>
      <formula>0.125</formula>
    </cfRule>
  </conditionalFormatting>
  <conditionalFormatting sqref="K70">
    <cfRule type="cellIs" dxfId="6124" priority="4415" operator="between">
      <formula>0.191</formula>
      <formula>0.24</formula>
    </cfRule>
    <cfRule type="cellIs" dxfId="6123" priority="4416" operator="between">
      <formula>0.1251</formula>
      <formula>0.19</formula>
    </cfRule>
    <cfRule type="cellIs" dxfId="6122" priority="4417" operator="greaterThan">
      <formula>0.2601</formula>
    </cfRule>
    <cfRule type="cellIs" dxfId="6121" priority="4418" operator="between">
      <formula>0.2401</formula>
      <formula>0.26</formula>
    </cfRule>
    <cfRule type="cellIs" dxfId="6120" priority="4419" stopIfTrue="1" operator="between">
      <formula>0</formula>
      <formula>0.125</formula>
    </cfRule>
  </conditionalFormatting>
  <conditionalFormatting sqref="K65">
    <cfRule type="cellIs" dxfId="6119" priority="4390" operator="between">
      <formula>0.191</formula>
      <formula>0.24</formula>
    </cfRule>
    <cfRule type="cellIs" dxfId="6118" priority="4391" operator="between">
      <formula>0.1251</formula>
      <formula>0.19</formula>
    </cfRule>
    <cfRule type="cellIs" dxfId="6117" priority="4392" operator="greaterThan">
      <formula>0.2601</formula>
    </cfRule>
    <cfRule type="cellIs" dxfId="6116" priority="4393" operator="between">
      <formula>0.2401</formula>
      <formula>0.26</formula>
    </cfRule>
    <cfRule type="cellIs" dxfId="6115" priority="4394" stopIfTrue="1" operator="between">
      <formula>0</formula>
      <formula>0.125</formula>
    </cfRule>
  </conditionalFormatting>
  <conditionalFormatting sqref="K71">
    <cfRule type="cellIs" dxfId="6114" priority="4385" operator="between">
      <formula>0.191</formula>
      <formula>0.24</formula>
    </cfRule>
    <cfRule type="cellIs" dxfId="6113" priority="4386" operator="between">
      <formula>0.1251</formula>
      <formula>0.19</formula>
    </cfRule>
    <cfRule type="cellIs" dxfId="6112" priority="4387" operator="greaterThan">
      <formula>0.2601</formula>
    </cfRule>
    <cfRule type="cellIs" dxfId="6111" priority="4388" operator="between">
      <formula>0.2401</formula>
      <formula>0.26</formula>
    </cfRule>
    <cfRule type="cellIs" dxfId="6110" priority="4389" stopIfTrue="1" operator="between">
      <formula>0</formula>
      <formula>0.125</formula>
    </cfRule>
  </conditionalFormatting>
  <conditionalFormatting sqref="K72">
    <cfRule type="cellIs" dxfId="6109" priority="4380" operator="between">
      <formula>0.191</formula>
      <formula>0.24</formula>
    </cfRule>
    <cfRule type="cellIs" dxfId="6108" priority="4381" operator="between">
      <formula>0.1251</formula>
      <formula>0.19</formula>
    </cfRule>
    <cfRule type="cellIs" dxfId="6107" priority="4382" operator="greaterThan">
      <formula>0.2601</formula>
    </cfRule>
    <cfRule type="cellIs" dxfId="6106" priority="4383" operator="between">
      <formula>0.2401</formula>
      <formula>0.26</formula>
    </cfRule>
    <cfRule type="cellIs" dxfId="6105" priority="4384" stopIfTrue="1" operator="between">
      <formula>0</formula>
      <formula>0.125</formula>
    </cfRule>
  </conditionalFormatting>
  <conditionalFormatting sqref="K75">
    <cfRule type="cellIs" dxfId="6104" priority="4375" operator="between">
      <formula>0.191</formula>
      <formula>0.24</formula>
    </cfRule>
    <cfRule type="cellIs" dxfId="6103" priority="4376" operator="between">
      <formula>0.1251</formula>
      <formula>0.19</formula>
    </cfRule>
    <cfRule type="cellIs" dxfId="6102" priority="4377" operator="greaterThan">
      <formula>0.2601</formula>
    </cfRule>
    <cfRule type="cellIs" dxfId="6101" priority="4378" operator="between">
      <formula>0.2401</formula>
      <formula>0.26</formula>
    </cfRule>
    <cfRule type="cellIs" dxfId="6100" priority="4379" stopIfTrue="1" operator="between">
      <formula>0</formula>
      <formula>0.125</formula>
    </cfRule>
  </conditionalFormatting>
  <conditionalFormatting sqref="K76">
    <cfRule type="cellIs" dxfId="6099" priority="4370" operator="between">
      <formula>0.191</formula>
      <formula>0.24</formula>
    </cfRule>
    <cfRule type="cellIs" dxfId="6098" priority="4371" operator="between">
      <formula>0.1251</formula>
      <formula>0.19</formula>
    </cfRule>
    <cfRule type="cellIs" dxfId="6097" priority="4372" operator="greaterThan">
      <formula>0.2601</formula>
    </cfRule>
    <cfRule type="cellIs" dxfId="6096" priority="4373" operator="between">
      <formula>0.2401</formula>
      <formula>0.26</formula>
    </cfRule>
    <cfRule type="cellIs" dxfId="6095" priority="4374" stopIfTrue="1" operator="between">
      <formula>0</formula>
      <formula>0.125</formula>
    </cfRule>
  </conditionalFormatting>
  <conditionalFormatting sqref="K77">
    <cfRule type="cellIs" dxfId="6094" priority="4365" operator="between">
      <formula>0.191</formula>
      <formula>0.24</formula>
    </cfRule>
    <cfRule type="cellIs" dxfId="6093" priority="4366" operator="between">
      <formula>0.1251</formula>
      <formula>0.19</formula>
    </cfRule>
    <cfRule type="cellIs" dxfId="6092" priority="4367" operator="greaterThan">
      <formula>0.2601</formula>
    </cfRule>
    <cfRule type="cellIs" dxfId="6091" priority="4368" operator="between">
      <formula>0.2401</formula>
      <formula>0.26</formula>
    </cfRule>
    <cfRule type="cellIs" dxfId="6090" priority="4369" stopIfTrue="1" operator="between">
      <formula>0</formula>
      <formula>0.125</formula>
    </cfRule>
  </conditionalFormatting>
  <conditionalFormatting sqref="K78">
    <cfRule type="cellIs" dxfId="6089" priority="4360" operator="between">
      <formula>0.191</formula>
      <formula>0.24</formula>
    </cfRule>
    <cfRule type="cellIs" dxfId="6088" priority="4361" operator="between">
      <formula>0.1251</formula>
      <formula>0.19</formula>
    </cfRule>
    <cfRule type="cellIs" dxfId="6087" priority="4362" operator="greaterThan">
      <formula>0.2601</formula>
    </cfRule>
    <cfRule type="cellIs" dxfId="6086" priority="4363" operator="between">
      <formula>0.2401</formula>
      <formula>0.26</formula>
    </cfRule>
    <cfRule type="cellIs" dxfId="6085" priority="4364" stopIfTrue="1" operator="between">
      <formula>0</formula>
      <formula>0.125</formula>
    </cfRule>
  </conditionalFormatting>
  <conditionalFormatting sqref="K81">
    <cfRule type="cellIs" dxfId="6084" priority="4355" operator="between">
      <formula>0.191</formula>
      <formula>0.24</formula>
    </cfRule>
    <cfRule type="cellIs" dxfId="6083" priority="4356" operator="between">
      <formula>0.1251</formula>
      <formula>0.19</formula>
    </cfRule>
    <cfRule type="cellIs" dxfId="6082" priority="4357" operator="greaterThan">
      <formula>0.2601</formula>
    </cfRule>
    <cfRule type="cellIs" dxfId="6081" priority="4358" operator="between">
      <formula>0.2401</formula>
      <formula>0.26</formula>
    </cfRule>
    <cfRule type="cellIs" dxfId="6080" priority="4359" stopIfTrue="1" operator="between">
      <formula>0</formula>
      <formula>0.125</formula>
    </cfRule>
  </conditionalFormatting>
  <conditionalFormatting sqref="K82">
    <cfRule type="cellIs" dxfId="6079" priority="4350" operator="between">
      <formula>0.191</formula>
      <formula>0.24</formula>
    </cfRule>
    <cfRule type="cellIs" dxfId="6078" priority="4351" operator="between">
      <formula>0.1251</formula>
      <formula>0.19</formula>
    </cfRule>
    <cfRule type="cellIs" dxfId="6077" priority="4352" operator="greaterThan">
      <formula>0.2601</formula>
    </cfRule>
    <cfRule type="cellIs" dxfId="6076" priority="4353" operator="between">
      <formula>0.2401</formula>
      <formula>0.26</formula>
    </cfRule>
    <cfRule type="cellIs" dxfId="6075" priority="4354" stopIfTrue="1" operator="between">
      <formula>0</formula>
      <formula>0.125</formula>
    </cfRule>
  </conditionalFormatting>
  <conditionalFormatting sqref="K83">
    <cfRule type="cellIs" dxfId="6074" priority="4345" operator="between">
      <formula>0.191</formula>
      <formula>0.24</formula>
    </cfRule>
    <cfRule type="cellIs" dxfId="6073" priority="4346" operator="between">
      <formula>0.1251</formula>
      <formula>0.19</formula>
    </cfRule>
    <cfRule type="cellIs" dxfId="6072" priority="4347" operator="greaterThan">
      <formula>0.2601</formula>
    </cfRule>
    <cfRule type="cellIs" dxfId="6071" priority="4348" operator="between">
      <formula>0.2401</formula>
      <formula>0.26</formula>
    </cfRule>
    <cfRule type="cellIs" dxfId="6070" priority="4349" stopIfTrue="1" operator="between">
      <formula>0</formula>
      <formula>0.125</formula>
    </cfRule>
  </conditionalFormatting>
  <conditionalFormatting sqref="K84">
    <cfRule type="cellIs" dxfId="6069" priority="4340" operator="between">
      <formula>0.191</formula>
      <formula>0.24</formula>
    </cfRule>
    <cfRule type="cellIs" dxfId="6068" priority="4341" operator="between">
      <formula>0.1251</formula>
      <formula>0.19</formula>
    </cfRule>
    <cfRule type="cellIs" dxfId="6067" priority="4342" operator="greaterThan">
      <formula>0.2601</formula>
    </cfRule>
    <cfRule type="cellIs" dxfId="6066" priority="4343" operator="between">
      <formula>0.2401</formula>
      <formula>0.26</formula>
    </cfRule>
    <cfRule type="cellIs" dxfId="6065" priority="4344" stopIfTrue="1" operator="between">
      <formula>0</formula>
      <formula>0.125</formula>
    </cfRule>
  </conditionalFormatting>
  <conditionalFormatting sqref="K85">
    <cfRule type="cellIs" dxfId="6064" priority="4335" operator="between">
      <formula>0.191</formula>
      <formula>0.24</formula>
    </cfRule>
    <cfRule type="cellIs" dxfId="6063" priority="4336" operator="between">
      <formula>0.1251</formula>
      <formula>0.19</formula>
    </cfRule>
    <cfRule type="cellIs" dxfId="6062" priority="4337" operator="greaterThan">
      <formula>0.2601</formula>
    </cfRule>
    <cfRule type="cellIs" dxfId="6061" priority="4338" operator="between">
      <formula>0.2401</formula>
      <formula>0.26</formula>
    </cfRule>
    <cfRule type="cellIs" dxfId="6060" priority="4339" stopIfTrue="1" operator="between">
      <formula>0</formula>
      <formula>0.125</formula>
    </cfRule>
  </conditionalFormatting>
  <conditionalFormatting sqref="K86">
    <cfRule type="cellIs" dxfId="6059" priority="4330" operator="between">
      <formula>0.191</formula>
      <formula>0.24</formula>
    </cfRule>
    <cfRule type="cellIs" dxfId="6058" priority="4331" operator="between">
      <formula>0.1251</formula>
      <formula>0.19</formula>
    </cfRule>
    <cfRule type="cellIs" dxfId="6057" priority="4332" operator="greaterThan">
      <formula>0.2601</formula>
    </cfRule>
    <cfRule type="cellIs" dxfId="6056" priority="4333" operator="between">
      <formula>0.2401</formula>
      <formula>0.26</formula>
    </cfRule>
    <cfRule type="cellIs" dxfId="6055" priority="4334" stopIfTrue="1" operator="between">
      <formula>0</formula>
      <formula>0.125</formula>
    </cfRule>
  </conditionalFormatting>
  <conditionalFormatting sqref="K91">
    <cfRule type="cellIs" dxfId="6054" priority="4325" operator="between">
      <formula>0.191</formula>
      <formula>0.24</formula>
    </cfRule>
    <cfRule type="cellIs" dxfId="6053" priority="4326" operator="between">
      <formula>0.1251</formula>
      <formula>0.19</formula>
    </cfRule>
    <cfRule type="cellIs" dxfId="6052" priority="4327" operator="greaterThan">
      <formula>0.2601</formula>
    </cfRule>
    <cfRule type="cellIs" dxfId="6051" priority="4328" operator="between">
      <formula>0.2401</formula>
      <formula>0.26</formula>
    </cfRule>
    <cfRule type="cellIs" dxfId="6050" priority="4329" stopIfTrue="1" operator="between">
      <formula>0</formula>
      <formula>0.125</formula>
    </cfRule>
  </conditionalFormatting>
  <conditionalFormatting sqref="K94">
    <cfRule type="cellIs" dxfId="6049" priority="4320" operator="between">
      <formula>0.191</formula>
      <formula>0.24</formula>
    </cfRule>
    <cfRule type="cellIs" dxfId="6048" priority="4321" operator="between">
      <formula>0.1251</formula>
      <formula>0.19</formula>
    </cfRule>
    <cfRule type="cellIs" dxfId="6047" priority="4322" operator="greaterThan">
      <formula>0.2601</formula>
    </cfRule>
    <cfRule type="cellIs" dxfId="6046" priority="4323" operator="between">
      <formula>0.2401</formula>
      <formula>0.26</formula>
    </cfRule>
    <cfRule type="cellIs" dxfId="6045" priority="4324" stopIfTrue="1" operator="between">
      <formula>0</formula>
      <formula>0.125</formula>
    </cfRule>
  </conditionalFormatting>
  <conditionalFormatting sqref="K95">
    <cfRule type="cellIs" dxfId="6044" priority="4315" operator="between">
      <formula>0.191</formula>
      <formula>0.24</formula>
    </cfRule>
    <cfRule type="cellIs" dxfId="6043" priority="4316" operator="between">
      <formula>0.1251</formula>
      <formula>0.19</formula>
    </cfRule>
    <cfRule type="cellIs" dxfId="6042" priority="4317" operator="greaterThan">
      <formula>0.2601</formula>
    </cfRule>
    <cfRule type="cellIs" dxfId="6041" priority="4318" operator="between">
      <formula>0.2401</formula>
      <formula>0.26</formula>
    </cfRule>
    <cfRule type="cellIs" dxfId="6040" priority="4319" stopIfTrue="1" operator="between">
      <formula>0</formula>
      <formula>0.125</formula>
    </cfRule>
  </conditionalFormatting>
  <conditionalFormatting sqref="K96">
    <cfRule type="cellIs" dxfId="6039" priority="4310" operator="between">
      <formula>0.191</formula>
      <formula>0.24</formula>
    </cfRule>
    <cfRule type="cellIs" dxfId="6038" priority="4311" operator="between">
      <formula>0.1251</formula>
      <formula>0.19</formula>
    </cfRule>
    <cfRule type="cellIs" dxfId="6037" priority="4312" operator="greaterThan">
      <formula>0.2601</formula>
    </cfRule>
    <cfRule type="cellIs" dxfId="6036" priority="4313" operator="between">
      <formula>0.2401</formula>
      <formula>0.26</formula>
    </cfRule>
    <cfRule type="cellIs" dxfId="6035" priority="4314" stopIfTrue="1" operator="between">
      <formula>0</formula>
      <formula>0.125</formula>
    </cfRule>
  </conditionalFormatting>
  <conditionalFormatting sqref="K97">
    <cfRule type="cellIs" dxfId="6034" priority="4305" operator="between">
      <formula>0.191</formula>
      <formula>0.24</formula>
    </cfRule>
    <cfRule type="cellIs" dxfId="6033" priority="4306" operator="between">
      <formula>0.1251</formula>
      <formula>0.19</formula>
    </cfRule>
    <cfRule type="cellIs" dxfId="6032" priority="4307" operator="greaterThan">
      <formula>0.2601</formula>
    </cfRule>
    <cfRule type="cellIs" dxfId="6031" priority="4308" operator="between">
      <formula>0.2401</formula>
      <formula>0.26</formula>
    </cfRule>
    <cfRule type="cellIs" dxfId="6030" priority="4309" stopIfTrue="1" operator="between">
      <formula>0</formula>
      <formula>0.125</formula>
    </cfRule>
  </conditionalFormatting>
  <conditionalFormatting sqref="K98">
    <cfRule type="cellIs" dxfId="6029" priority="4300" operator="between">
      <formula>0.191</formula>
      <formula>0.24</formula>
    </cfRule>
    <cfRule type="cellIs" dxfId="6028" priority="4301" operator="between">
      <formula>0.1251</formula>
      <formula>0.19</formula>
    </cfRule>
    <cfRule type="cellIs" dxfId="6027" priority="4302" operator="greaterThan">
      <formula>0.2601</formula>
    </cfRule>
    <cfRule type="cellIs" dxfId="6026" priority="4303" operator="between">
      <formula>0.2401</formula>
      <formula>0.26</formula>
    </cfRule>
    <cfRule type="cellIs" dxfId="6025" priority="4304" stopIfTrue="1" operator="between">
      <formula>0</formula>
      <formula>0.125</formula>
    </cfRule>
  </conditionalFormatting>
  <conditionalFormatting sqref="K99">
    <cfRule type="cellIs" dxfId="6024" priority="4295" operator="between">
      <formula>0.191</formula>
      <formula>0.24</formula>
    </cfRule>
    <cfRule type="cellIs" dxfId="6023" priority="4296" operator="between">
      <formula>0.1251</formula>
      <formula>0.19</formula>
    </cfRule>
    <cfRule type="cellIs" dxfId="6022" priority="4297" operator="greaterThan">
      <formula>0.2601</formula>
    </cfRule>
    <cfRule type="cellIs" dxfId="6021" priority="4298" operator="between">
      <formula>0.2401</formula>
      <formula>0.26</formula>
    </cfRule>
    <cfRule type="cellIs" dxfId="6020" priority="4299" stopIfTrue="1" operator="between">
      <formula>0</formula>
      <formula>0.125</formula>
    </cfRule>
  </conditionalFormatting>
  <conditionalFormatting sqref="K101">
    <cfRule type="cellIs" dxfId="6019" priority="4290" operator="between">
      <formula>0.191</formula>
      <formula>0.24</formula>
    </cfRule>
    <cfRule type="cellIs" dxfId="6018" priority="4291" operator="between">
      <formula>0.1251</formula>
      <formula>0.19</formula>
    </cfRule>
    <cfRule type="cellIs" dxfId="6017" priority="4292" operator="greaterThan">
      <formula>0.2601</formula>
    </cfRule>
    <cfRule type="cellIs" dxfId="6016" priority="4293" operator="between">
      <formula>0.2401</formula>
      <formula>0.26</formula>
    </cfRule>
    <cfRule type="cellIs" dxfId="6015" priority="4294" stopIfTrue="1" operator="between">
      <formula>0</formula>
      <formula>0.125</formula>
    </cfRule>
  </conditionalFormatting>
  <conditionalFormatting sqref="K102">
    <cfRule type="cellIs" dxfId="6014" priority="4285" operator="between">
      <formula>0.191</formula>
      <formula>0.24</formula>
    </cfRule>
    <cfRule type="cellIs" dxfId="6013" priority="4286" operator="between">
      <formula>0.1251</formula>
      <formula>0.19</formula>
    </cfRule>
    <cfRule type="cellIs" dxfId="6012" priority="4287" operator="greaterThan">
      <formula>0.2601</formula>
    </cfRule>
    <cfRule type="cellIs" dxfId="6011" priority="4288" operator="between">
      <formula>0.2401</formula>
      <formula>0.26</formula>
    </cfRule>
    <cfRule type="cellIs" dxfId="6010" priority="4289" stopIfTrue="1" operator="between">
      <formula>0</formula>
      <formula>0.125</formula>
    </cfRule>
  </conditionalFormatting>
  <conditionalFormatting sqref="K104">
    <cfRule type="cellIs" dxfId="6009" priority="4275" operator="between">
      <formula>0.191</formula>
      <formula>0.24</formula>
    </cfRule>
    <cfRule type="cellIs" dxfId="6008" priority="4276" operator="between">
      <formula>0.1251</formula>
      <formula>0.19</formula>
    </cfRule>
    <cfRule type="cellIs" dxfId="6007" priority="4277" operator="greaterThan">
      <formula>0.2601</formula>
    </cfRule>
    <cfRule type="cellIs" dxfId="6006" priority="4278" operator="between">
      <formula>0.2401</formula>
      <formula>0.26</formula>
    </cfRule>
    <cfRule type="cellIs" dxfId="6005" priority="4279" stopIfTrue="1" operator="between">
      <formula>0</formula>
      <formula>0.125</formula>
    </cfRule>
  </conditionalFormatting>
  <conditionalFormatting sqref="K106:K107">
    <cfRule type="cellIs" dxfId="6004" priority="4255" operator="between">
      <formula>0.191</formula>
      <formula>0.24</formula>
    </cfRule>
    <cfRule type="cellIs" dxfId="6003" priority="4256" operator="between">
      <formula>0.1251</formula>
      <formula>0.19</formula>
    </cfRule>
    <cfRule type="cellIs" dxfId="6002" priority="4257" operator="greaterThan">
      <formula>0.2601</formula>
    </cfRule>
    <cfRule type="cellIs" dxfId="6001" priority="4258" operator="between">
      <formula>0.2401</formula>
      <formula>0.26</formula>
    </cfRule>
    <cfRule type="cellIs" dxfId="6000" priority="4259" stopIfTrue="1" operator="between">
      <formula>0</formula>
      <formula>0.125</formula>
    </cfRule>
  </conditionalFormatting>
  <conditionalFormatting sqref="K108">
    <cfRule type="cellIs" dxfId="5999" priority="4250" operator="between">
      <formula>0.191</formula>
      <formula>0.24</formula>
    </cfRule>
    <cfRule type="cellIs" dxfId="5998" priority="4251" operator="between">
      <formula>0.1251</formula>
      <formula>0.19</formula>
    </cfRule>
    <cfRule type="cellIs" dxfId="5997" priority="4252" operator="greaterThan">
      <formula>0.2601</formula>
    </cfRule>
    <cfRule type="cellIs" dxfId="5996" priority="4253" operator="between">
      <formula>0.2401</formula>
      <formula>0.26</formula>
    </cfRule>
    <cfRule type="cellIs" dxfId="5995" priority="4254" stopIfTrue="1" operator="between">
      <formula>0</formula>
      <formula>0.125</formula>
    </cfRule>
  </conditionalFormatting>
  <conditionalFormatting sqref="K109">
    <cfRule type="cellIs" dxfId="5994" priority="4245" operator="between">
      <formula>0.191</formula>
      <formula>0.24</formula>
    </cfRule>
    <cfRule type="cellIs" dxfId="5993" priority="4246" operator="between">
      <formula>0.1251</formula>
      <formula>0.19</formula>
    </cfRule>
    <cfRule type="cellIs" dxfId="5992" priority="4247" operator="greaterThan">
      <formula>0.2601</formula>
    </cfRule>
    <cfRule type="cellIs" dxfId="5991" priority="4248" operator="between">
      <formula>0.2401</formula>
      <formula>0.26</formula>
    </cfRule>
    <cfRule type="cellIs" dxfId="5990" priority="4249" stopIfTrue="1" operator="between">
      <formula>0</formula>
      <formula>0.125</formula>
    </cfRule>
  </conditionalFormatting>
  <conditionalFormatting sqref="K110">
    <cfRule type="cellIs" dxfId="5989" priority="4240" operator="between">
      <formula>0.191</formula>
      <formula>0.24</formula>
    </cfRule>
    <cfRule type="cellIs" dxfId="5988" priority="4241" operator="between">
      <formula>0.1251</formula>
      <formula>0.19</formula>
    </cfRule>
    <cfRule type="cellIs" dxfId="5987" priority="4242" operator="greaterThan">
      <formula>0.2601</formula>
    </cfRule>
    <cfRule type="cellIs" dxfId="5986" priority="4243" operator="between">
      <formula>0.2401</formula>
      <formula>0.26</formula>
    </cfRule>
    <cfRule type="cellIs" dxfId="5985" priority="4244" stopIfTrue="1" operator="between">
      <formula>0</formula>
      <formula>0.125</formula>
    </cfRule>
  </conditionalFormatting>
  <conditionalFormatting sqref="K111">
    <cfRule type="cellIs" dxfId="5984" priority="4235" operator="between">
      <formula>0.191</formula>
      <formula>0.24</formula>
    </cfRule>
    <cfRule type="cellIs" dxfId="5983" priority="4236" operator="between">
      <formula>0.1251</formula>
      <formula>0.19</formula>
    </cfRule>
    <cfRule type="cellIs" dxfId="5982" priority="4237" operator="greaterThan">
      <formula>0.2601</formula>
    </cfRule>
    <cfRule type="cellIs" dxfId="5981" priority="4238" operator="between">
      <formula>0.2401</formula>
      <formula>0.26</formula>
    </cfRule>
    <cfRule type="cellIs" dxfId="5980" priority="4239" stopIfTrue="1" operator="between">
      <formula>0</formula>
      <formula>0.125</formula>
    </cfRule>
  </conditionalFormatting>
  <conditionalFormatting sqref="K114">
    <cfRule type="cellIs" dxfId="5979" priority="4225" operator="between">
      <formula>0.191</formula>
      <formula>0.24</formula>
    </cfRule>
    <cfRule type="cellIs" dxfId="5978" priority="4226" operator="between">
      <formula>0.1251</formula>
      <formula>0.19</formula>
    </cfRule>
    <cfRule type="cellIs" dxfId="5977" priority="4227" operator="greaterThan">
      <formula>0.2601</formula>
    </cfRule>
    <cfRule type="cellIs" dxfId="5976" priority="4228" operator="between">
      <formula>0.2401</formula>
      <formula>0.26</formula>
    </cfRule>
    <cfRule type="cellIs" dxfId="5975" priority="4229" stopIfTrue="1" operator="between">
      <formula>0</formula>
      <formula>0.125</formula>
    </cfRule>
  </conditionalFormatting>
  <conditionalFormatting sqref="K112">
    <cfRule type="cellIs" dxfId="5974" priority="4220" operator="between">
      <formula>0.191</formula>
      <formula>0.24</formula>
    </cfRule>
    <cfRule type="cellIs" dxfId="5973" priority="4221" operator="between">
      <formula>0.1251</formula>
      <formula>0.19</formula>
    </cfRule>
    <cfRule type="cellIs" dxfId="5972" priority="4222" operator="greaterThan">
      <formula>0.2601</formula>
    </cfRule>
    <cfRule type="cellIs" dxfId="5971" priority="4223" operator="between">
      <formula>0.2401</formula>
      <formula>0.26</formula>
    </cfRule>
    <cfRule type="cellIs" dxfId="5970" priority="4224" stopIfTrue="1" operator="between">
      <formula>0</formula>
      <formula>0.125</formula>
    </cfRule>
  </conditionalFormatting>
  <conditionalFormatting sqref="K115">
    <cfRule type="cellIs" dxfId="5969" priority="4215" operator="between">
      <formula>0.191</formula>
      <formula>0.24</formula>
    </cfRule>
    <cfRule type="cellIs" dxfId="5968" priority="4216" operator="between">
      <formula>0.1251</formula>
      <formula>0.19</formula>
    </cfRule>
    <cfRule type="cellIs" dxfId="5967" priority="4217" operator="greaterThan">
      <formula>0.2601</formula>
    </cfRule>
    <cfRule type="cellIs" dxfId="5966" priority="4218" operator="between">
      <formula>0.2401</formula>
      <formula>0.26</formula>
    </cfRule>
    <cfRule type="cellIs" dxfId="5965" priority="4219" stopIfTrue="1" operator="between">
      <formula>0</formula>
      <formula>0.125</formula>
    </cfRule>
  </conditionalFormatting>
  <conditionalFormatting sqref="K116">
    <cfRule type="cellIs" dxfId="5964" priority="4210" operator="between">
      <formula>0.191</formula>
      <formula>0.24</formula>
    </cfRule>
    <cfRule type="cellIs" dxfId="5963" priority="4211" operator="between">
      <formula>0.1251</formula>
      <formula>0.19</formula>
    </cfRule>
    <cfRule type="cellIs" dxfId="5962" priority="4212" operator="greaterThan">
      <formula>0.2601</formula>
    </cfRule>
    <cfRule type="cellIs" dxfId="5961" priority="4213" operator="between">
      <formula>0.2401</formula>
      <formula>0.26</formula>
    </cfRule>
    <cfRule type="cellIs" dxfId="5960" priority="4214" stopIfTrue="1" operator="between">
      <formula>0</formula>
      <formula>0.125</formula>
    </cfRule>
  </conditionalFormatting>
  <conditionalFormatting sqref="K117">
    <cfRule type="cellIs" dxfId="5959" priority="4205" operator="between">
      <formula>0.191</formula>
      <formula>0.24</formula>
    </cfRule>
    <cfRule type="cellIs" dxfId="5958" priority="4206" operator="between">
      <formula>0.1251</formula>
      <formula>0.19</formula>
    </cfRule>
    <cfRule type="cellIs" dxfId="5957" priority="4207" operator="greaterThan">
      <formula>0.2601</formula>
    </cfRule>
    <cfRule type="cellIs" dxfId="5956" priority="4208" operator="between">
      <formula>0.2401</formula>
      <formula>0.26</formula>
    </cfRule>
    <cfRule type="cellIs" dxfId="5955" priority="4209" stopIfTrue="1" operator="between">
      <formula>0</formula>
      <formula>0.125</formula>
    </cfRule>
  </conditionalFormatting>
  <conditionalFormatting sqref="K121">
    <cfRule type="cellIs" dxfId="5954" priority="4200" operator="between">
      <formula>0.191</formula>
      <formula>0.24</formula>
    </cfRule>
    <cfRule type="cellIs" dxfId="5953" priority="4201" operator="between">
      <formula>0.1251</formula>
      <formula>0.19</formula>
    </cfRule>
    <cfRule type="cellIs" dxfId="5952" priority="4202" operator="greaterThan">
      <formula>0.2601</formula>
    </cfRule>
    <cfRule type="cellIs" dxfId="5951" priority="4203" operator="between">
      <formula>0.2401</formula>
      <formula>0.26</formula>
    </cfRule>
    <cfRule type="cellIs" dxfId="5950" priority="4204" stopIfTrue="1" operator="between">
      <formula>0</formula>
      <formula>0.125</formula>
    </cfRule>
  </conditionalFormatting>
  <conditionalFormatting sqref="K122">
    <cfRule type="cellIs" dxfId="5949" priority="4195" operator="between">
      <formula>0.191</formula>
      <formula>0.24</formula>
    </cfRule>
    <cfRule type="cellIs" dxfId="5948" priority="4196" operator="between">
      <formula>0.1251</formula>
      <formula>0.19</formula>
    </cfRule>
    <cfRule type="cellIs" dxfId="5947" priority="4197" operator="greaterThan">
      <formula>0.2601</formula>
    </cfRule>
    <cfRule type="cellIs" dxfId="5946" priority="4198" operator="between">
      <formula>0.2401</formula>
      <formula>0.26</formula>
    </cfRule>
    <cfRule type="cellIs" dxfId="5945" priority="4199" stopIfTrue="1" operator="between">
      <formula>0</formula>
      <formula>0.125</formula>
    </cfRule>
  </conditionalFormatting>
  <conditionalFormatting sqref="K123">
    <cfRule type="cellIs" dxfId="5944" priority="4190" operator="between">
      <formula>0.191</formula>
      <formula>0.24</formula>
    </cfRule>
    <cfRule type="cellIs" dxfId="5943" priority="4191" operator="between">
      <formula>0.1251</formula>
      <formula>0.19</formula>
    </cfRule>
    <cfRule type="cellIs" dxfId="5942" priority="4192" operator="greaterThan">
      <formula>0.2601</formula>
    </cfRule>
    <cfRule type="cellIs" dxfId="5941" priority="4193" operator="between">
      <formula>0.2401</formula>
      <formula>0.26</formula>
    </cfRule>
    <cfRule type="cellIs" dxfId="5940" priority="4194" stopIfTrue="1" operator="between">
      <formula>0</formula>
      <formula>0.125</formula>
    </cfRule>
  </conditionalFormatting>
  <conditionalFormatting sqref="K124">
    <cfRule type="cellIs" dxfId="5939" priority="4185" operator="between">
      <formula>0.191</formula>
      <formula>0.24</formula>
    </cfRule>
    <cfRule type="cellIs" dxfId="5938" priority="4186" operator="between">
      <formula>0.1251</formula>
      <formula>0.19</formula>
    </cfRule>
    <cfRule type="cellIs" dxfId="5937" priority="4187" operator="greaterThan">
      <formula>0.2601</formula>
    </cfRule>
    <cfRule type="cellIs" dxfId="5936" priority="4188" operator="between">
      <formula>0.2401</formula>
      <formula>0.26</formula>
    </cfRule>
    <cfRule type="cellIs" dxfId="5935" priority="4189" stopIfTrue="1" operator="between">
      <formula>0</formula>
      <formula>0.125</formula>
    </cfRule>
  </conditionalFormatting>
  <conditionalFormatting sqref="K125">
    <cfRule type="cellIs" dxfId="5934" priority="4180" operator="between">
      <formula>0.191</formula>
      <formula>0.24</formula>
    </cfRule>
    <cfRule type="cellIs" dxfId="5933" priority="4181" operator="between">
      <formula>0.1251</formula>
      <formula>0.19</formula>
    </cfRule>
    <cfRule type="cellIs" dxfId="5932" priority="4182" operator="greaterThan">
      <formula>0.2601</formula>
    </cfRule>
    <cfRule type="cellIs" dxfId="5931" priority="4183" operator="between">
      <formula>0.2401</formula>
      <formula>0.26</formula>
    </cfRule>
    <cfRule type="cellIs" dxfId="5930" priority="4184" stopIfTrue="1" operator="between">
      <formula>0</formula>
      <formula>0.125</formula>
    </cfRule>
  </conditionalFormatting>
  <conditionalFormatting sqref="K126">
    <cfRule type="cellIs" dxfId="5929" priority="4175" operator="between">
      <formula>0.191</formula>
      <formula>0.24</formula>
    </cfRule>
    <cfRule type="cellIs" dxfId="5928" priority="4176" operator="between">
      <formula>0.1251</formula>
      <formula>0.19</formula>
    </cfRule>
    <cfRule type="cellIs" dxfId="5927" priority="4177" operator="greaterThan">
      <formula>0.2601</formula>
    </cfRule>
    <cfRule type="cellIs" dxfId="5926" priority="4178" operator="between">
      <formula>0.2401</formula>
      <formula>0.26</formula>
    </cfRule>
    <cfRule type="cellIs" dxfId="5925" priority="4179" stopIfTrue="1" operator="between">
      <formula>0</formula>
      <formula>0.125</formula>
    </cfRule>
  </conditionalFormatting>
  <conditionalFormatting sqref="K127">
    <cfRule type="cellIs" dxfId="5924" priority="4170" operator="between">
      <formula>0.191</formula>
      <formula>0.24</formula>
    </cfRule>
    <cfRule type="cellIs" dxfId="5923" priority="4171" operator="between">
      <formula>0.1251</formula>
      <formula>0.19</formula>
    </cfRule>
    <cfRule type="cellIs" dxfId="5922" priority="4172" operator="greaterThan">
      <formula>0.2601</formula>
    </cfRule>
    <cfRule type="cellIs" dxfId="5921" priority="4173" operator="between">
      <formula>0.2401</formula>
      <formula>0.26</formula>
    </cfRule>
    <cfRule type="cellIs" dxfId="5920" priority="4174" stopIfTrue="1" operator="between">
      <formula>0</formula>
      <formula>0.125</formula>
    </cfRule>
  </conditionalFormatting>
  <conditionalFormatting sqref="K128">
    <cfRule type="cellIs" dxfId="5919" priority="4165" operator="between">
      <formula>0.191</formula>
      <formula>0.24</formula>
    </cfRule>
    <cfRule type="cellIs" dxfId="5918" priority="4166" operator="between">
      <formula>0.1251</formula>
      <formula>0.19</formula>
    </cfRule>
    <cfRule type="cellIs" dxfId="5917" priority="4167" operator="greaterThan">
      <formula>0.2601</formula>
    </cfRule>
    <cfRule type="cellIs" dxfId="5916" priority="4168" operator="between">
      <formula>0.2401</formula>
      <formula>0.26</formula>
    </cfRule>
    <cfRule type="cellIs" dxfId="5915" priority="4169" stopIfTrue="1" operator="between">
      <formula>0</formula>
      <formula>0.125</formula>
    </cfRule>
  </conditionalFormatting>
  <conditionalFormatting sqref="K129">
    <cfRule type="cellIs" dxfId="5914" priority="4160" operator="between">
      <formula>0.191</formula>
      <formula>0.24</formula>
    </cfRule>
    <cfRule type="cellIs" dxfId="5913" priority="4161" operator="between">
      <formula>0.1251</formula>
      <formula>0.19</formula>
    </cfRule>
    <cfRule type="cellIs" dxfId="5912" priority="4162" operator="greaterThan">
      <formula>0.2601</formula>
    </cfRule>
    <cfRule type="cellIs" dxfId="5911" priority="4163" operator="between">
      <formula>0.2401</formula>
      <formula>0.26</formula>
    </cfRule>
    <cfRule type="cellIs" dxfId="5910" priority="4164" stopIfTrue="1" operator="between">
      <formula>0</formula>
      <formula>0.125</formula>
    </cfRule>
  </conditionalFormatting>
  <conditionalFormatting sqref="K130">
    <cfRule type="cellIs" dxfId="5909" priority="4155" operator="between">
      <formula>0.191</formula>
      <formula>0.24</formula>
    </cfRule>
    <cfRule type="cellIs" dxfId="5908" priority="4156" operator="between">
      <formula>0.1251</formula>
      <formula>0.19</formula>
    </cfRule>
    <cfRule type="cellIs" dxfId="5907" priority="4157" operator="greaterThan">
      <formula>0.2601</formula>
    </cfRule>
    <cfRule type="cellIs" dxfId="5906" priority="4158" operator="between">
      <formula>0.2401</formula>
      <formula>0.26</formula>
    </cfRule>
    <cfRule type="cellIs" dxfId="5905" priority="4159" stopIfTrue="1" operator="between">
      <formula>0</formula>
      <formula>0.125</formula>
    </cfRule>
  </conditionalFormatting>
  <conditionalFormatting sqref="K131">
    <cfRule type="cellIs" dxfId="5904" priority="4150" operator="between">
      <formula>0.191</formula>
      <formula>0.24</formula>
    </cfRule>
    <cfRule type="cellIs" dxfId="5903" priority="4151" operator="between">
      <formula>0.1251</formula>
      <formula>0.19</formula>
    </cfRule>
    <cfRule type="cellIs" dxfId="5902" priority="4152" operator="greaterThan">
      <formula>0.2601</formula>
    </cfRule>
    <cfRule type="cellIs" dxfId="5901" priority="4153" operator="between">
      <formula>0.2401</formula>
      <formula>0.26</formula>
    </cfRule>
    <cfRule type="cellIs" dxfId="5900" priority="4154" stopIfTrue="1" operator="between">
      <formula>0</formula>
      <formula>0.125</formula>
    </cfRule>
  </conditionalFormatting>
  <conditionalFormatting sqref="K132">
    <cfRule type="cellIs" dxfId="5899" priority="4145" operator="between">
      <formula>0.191</formula>
      <formula>0.24</formula>
    </cfRule>
    <cfRule type="cellIs" dxfId="5898" priority="4146" operator="between">
      <formula>0.1251</formula>
      <formula>0.19</formula>
    </cfRule>
    <cfRule type="cellIs" dxfId="5897" priority="4147" operator="greaterThan">
      <formula>0.2601</formula>
    </cfRule>
    <cfRule type="cellIs" dxfId="5896" priority="4148" operator="between">
      <formula>0.2401</formula>
      <formula>0.26</formula>
    </cfRule>
    <cfRule type="cellIs" dxfId="5895" priority="4149" stopIfTrue="1" operator="between">
      <formula>0</formula>
      <formula>0.125</formula>
    </cfRule>
  </conditionalFormatting>
  <conditionalFormatting sqref="K133">
    <cfRule type="cellIs" dxfId="5894" priority="4140" operator="between">
      <formula>0.191</formula>
      <formula>0.24</formula>
    </cfRule>
    <cfRule type="cellIs" dxfId="5893" priority="4141" operator="between">
      <formula>0.1251</formula>
      <formula>0.19</formula>
    </cfRule>
    <cfRule type="cellIs" dxfId="5892" priority="4142" operator="greaterThan">
      <formula>0.2601</formula>
    </cfRule>
    <cfRule type="cellIs" dxfId="5891" priority="4143" operator="between">
      <formula>0.2401</formula>
      <formula>0.26</formula>
    </cfRule>
    <cfRule type="cellIs" dxfId="5890" priority="4144" stopIfTrue="1" operator="between">
      <formula>0</formula>
      <formula>0.125</formula>
    </cfRule>
  </conditionalFormatting>
  <conditionalFormatting sqref="K134">
    <cfRule type="cellIs" dxfId="5889" priority="4135" operator="between">
      <formula>0.191</formula>
      <formula>0.24</formula>
    </cfRule>
    <cfRule type="cellIs" dxfId="5888" priority="4136" operator="between">
      <formula>0.1251</formula>
      <formula>0.19</formula>
    </cfRule>
    <cfRule type="cellIs" dxfId="5887" priority="4137" operator="greaterThan">
      <formula>0.2601</formula>
    </cfRule>
    <cfRule type="cellIs" dxfId="5886" priority="4138" operator="between">
      <formula>0.2401</formula>
      <formula>0.26</formula>
    </cfRule>
    <cfRule type="cellIs" dxfId="5885" priority="4139" stopIfTrue="1" operator="between">
      <formula>0</formula>
      <formula>0.125</formula>
    </cfRule>
  </conditionalFormatting>
  <conditionalFormatting sqref="K135">
    <cfRule type="cellIs" dxfId="5884" priority="4130" operator="between">
      <formula>0.191</formula>
      <formula>0.24</formula>
    </cfRule>
    <cfRule type="cellIs" dxfId="5883" priority="4131" operator="between">
      <formula>0.1251</formula>
      <formula>0.19</formula>
    </cfRule>
    <cfRule type="cellIs" dxfId="5882" priority="4132" operator="greaterThan">
      <formula>0.2601</formula>
    </cfRule>
    <cfRule type="cellIs" dxfId="5881" priority="4133" operator="between">
      <formula>0.2401</formula>
      <formula>0.26</formula>
    </cfRule>
    <cfRule type="cellIs" dxfId="5880" priority="4134" stopIfTrue="1" operator="between">
      <formula>0</formula>
      <formula>0.125</formula>
    </cfRule>
  </conditionalFormatting>
  <conditionalFormatting sqref="K136">
    <cfRule type="cellIs" dxfId="5879" priority="4125" operator="between">
      <formula>0.191</formula>
      <formula>0.24</formula>
    </cfRule>
    <cfRule type="cellIs" dxfId="5878" priority="4126" operator="between">
      <formula>0.1251</formula>
      <formula>0.19</formula>
    </cfRule>
    <cfRule type="cellIs" dxfId="5877" priority="4127" operator="greaterThan">
      <formula>0.2601</formula>
    </cfRule>
    <cfRule type="cellIs" dxfId="5876" priority="4128" operator="between">
      <formula>0.2401</formula>
      <formula>0.26</formula>
    </cfRule>
    <cfRule type="cellIs" dxfId="5875" priority="4129" stopIfTrue="1" operator="between">
      <formula>0</formula>
      <formula>0.125</formula>
    </cfRule>
  </conditionalFormatting>
  <conditionalFormatting sqref="K137">
    <cfRule type="cellIs" dxfId="5874" priority="4120" operator="between">
      <formula>0.191</formula>
      <formula>0.24</formula>
    </cfRule>
    <cfRule type="cellIs" dxfId="5873" priority="4121" operator="between">
      <formula>0.1251</formula>
      <formula>0.19</formula>
    </cfRule>
    <cfRule type="cellIs" dxfId="5872" priority="4122" operator="greaterThan">
      <formula>0.2601</formula>
    </cfRule>
    <cfRule type="cellIs" dxfId="5871" priority="4123" operator="between">
      <formula>0.2401</formula>
      <formula>0.26</formula>
    </cfRule>
    <cfRule type="cellIs" dxfId="5870" priority="4124" stopIfTrue="1" operator="between">
      <formula>0</formula>
      <formula>0.125</formula>
    </cfRule>
  </conditionalFormatting>
  <conditionalFormatting sqref="K138">
    <cfRule type="cellIs" dxfId="5869" priority="4115" operator="between">
      <formula>0.191</formula>
      <formula>0.24</formula>
    </cfRule>
    <cfRule type="cellIs" dxfId="5868" priority="4116" operator="between">
      <formula>0.1251</formula>
      <formula>0.19</formula>
    </cfRule>
    <cfRule type="cellIs" dxfId="5867" priority="4117" operator="greaterThan">
      <formula>0.2601</formula>
    </cfRule>
    <cfRule type="cellIs" dxfId="5866" priority="4118" operator="between">
      <formula>0.2401</formula>
      <formula>0.26</formula>
    </cfRule>
    <cfRule type="cellIs" dxfId="5865" priority="4119" stopIfTrue="1" operator="between">
      <formula>0</formula>
      <formula>0.125</formula>
    </cfRule>
  </conditionalFormatting>
  <conditionalFormatting sqref="K139">
    <cfRule type="cellIs" dxfId="5864" priority="4110" operator="between">
      <formula>0.191</formula>
      <formula>0.24</formula>
    </cfRule>
    <cfRule type="cellIs" dxfId="5863" priority="4111" operator="between">
      <formula>0.1251</formula>
      <formula>0.19</formula>
    </cfRule>
    <cfRule type="cellIs" dxfId="5862" priority="4112" operator="greaterThan">
      <formula>0.2601</formula>
    </cfRule>
    <cfRule type="cellIs" dxfId="5861" priority="4113" operator="between">
      <formula>0.2401</formula>
      <formula>0.26</formula>
    </cfRule>
    <cfRule type="cellIs" dxfId="5860" priority="4114" stopIfTrue="1" operator="between">
      <formula>0</formula>
      <formula>0.125</formula>
    </cfRule>
  </conditionalFormatting>
  <conditionalFormatting sqref="K140">
    <cfRule type="cellIs" dxfId="5859" priority="4105" operator="between">
      <formula>0.191</formula>
      <formula>0.24</formula>
    </cfRule>
    <cfRule type="cellIs" dxfId="5858" priority="4106" operator="between">
      <formula>0.1251</formula>
      <formula>0.19</formula>
    </cfRule>
    <cfRule type="cellIs" dxfId="5857" priority="4107" operator="greaterThan">
      <formula>0.2601</formula>
    </cfRule>
    <cfRule type="cellIs" dxfId="5856" priority="4108" operator="between">
      <formula>0.2401</formula>
      <formula>0.26</formula>
    </cfRule>
    <cfRule type="cellIs" dxfId="5855" priority="4109" stopIfTrue="1" operator="between">
      <formula>0</formula>
      <formula>0.125</formula>
    </cfRule>
  </conditionalFormatting>
  <conditionalFormatting sqref="K142">
    <cfRule type="cellIs" dxfId="5854" priority="4100" operator="between">
      <formula>0.191</formula>
      <formula>0.24</formula>
    </cfRule>
    <cfRule type="cellIs" dxfId="5853" priority="4101" operator="between">
      <formula>0.1251</formula>
      <formula>0.19</formula>
    </cfRule>
    <cfRule type="cellIs" dxfId="5852" priority="4102" operator="greaterThan">
      <formula>0.2601</formula>
    </cfRule>
    <cfRule type="cellIs" dxfId="5851" priority="4103" operator="between">
      <formula>0.2401</formula>
      <formula>0.26</formula>
    </cfRule>
    <cfRule type="cellIs" dxfId="5850" priority="4104" stopIfTrue="1" operator="between">
      <formula>0</formula>
      <formula>0.125</formula>
    </cfRule>
  </conditionalFormatting>
  <conditionalFormatting sqref="K143">
    <cfRule type="cellIs" dxfId="5849" priority="4095" operator="between">
      <formula>0.191</formula>
      <formula>0.24</formula>
    </cfRule>
    <cfRule type="cellIs" dxfId="5848" priority="4096" operator="between">
      <formula>0.1251</formula>
      <formula>0.19</formula>
    </cfRule>
    <cfRule type="cellIs" dxfId="5847" priority="4097" operator="greaterThan">
      <formula>0.2601</formula>
    </cfRule>
    <cfRule type="cellIs" dxfId="5846" priority="4098" operator="between">
      <formula>0.2401</formula>
      <formula>0.26</formula>
    </cfRule>
    <cfRule type="cellIs" dxfId="5845" priority="4099" stopIfTrue="1" operator="between">
      <formula>0</formula>
      <formula>0.125</formula>
    </cfRule>
  </conditionalFormatting>
  <conditionalFormatting sqref="K144">
    <cfRule type="cellIs" dxfId="5844" priority="4090" operator="between">
      <formula>0.191</formula>
      <formula>0.24</formula>
    </cfRule>
    <cfRule type="cellIs" dxfId="5843" priority="4091" operator="between">
      <formula>0.1251</formula>
      <formula>0.19</formula>
    </cfRule>
    <cfRule type="cellIs" dxfId="5842" priority="4092" operator="greaterThan">
      <formula>0.2601</formula>
    </cfRule>
    <cfRule type="cellIs" dxfId="5841" priority="4093" operator="between">
      <formula>0.2401</formula>
      <formula>0.26</formula>
    </cfRule>
    <cfRule type="cellIs" dxfId="5840" priority="4094" stopIfTrue="1" operator="between">
      <formula>0</formula>
      <formula>0.125</formula>
    </cfRule>
  </conditionalFormatting>
  <conditionalFormatting sqref="K145">
    <cfRule type="cellIs" dxfId="5839" priority="4085" operator="between">
      <formula>0.191</formula>
      <formula>0.24</formula>
    </cfRule>
    <cfRule type="cellIs" dxfId="5838" priority="4086" operator="between">
      <formula>0.1251</formula>
      <formula>0.19</formula>
    </cfRule>
    <cfRule type="cellIs" dxfId="5837" priority="4087" operator="greaterThan">
      <formula>0.2601</formula>
    </cfRule>
    <cfRule type="cellIs" dxfId="5836" priority="4088" operator="between">
      <formula>0.2401</formula>
      <formula>0.26</formula>
    </cfRule>
    <cfRule type="cellIs" dxfId="5835" priority="4089" stopIfTrue="1" operator="between">
      <formula>0</formula>
      <formula>0.125</formula>
    </cfRule>
  </conditionalFormatting>
  <conditionalFormatting sqref="K147">
    <cfRule type="cellIs" dxfId="5834" priority="4075" operator="between">
      <formula>0.191</formula>
      <formula>0.24</formula>
    </cfRule>
    <cfRule type="cellIs" dxfId="5833" priority="4076" operator="between">
      <formula>0.1251</formula>
      <formula>0.19</formula>
    </cfRule>
    <cfRule type="cellIs" dxfId="5832" priority="4077" operator="greaterThan">
      <formula>0.2601</formula>
    </cfRule>
    <cfRule type="cellIs" dxfId="5831" priority="4078" operator="between">
      <formula>0.2401</formula>
      <formula>0.26</formula>
    </cfRule>
    <cfRule type="cellIs" dxfId="5830" priority="4079" stopIfTrue="1" operator="between">
      <formula>0</formula>
      <formula>0.125</formula>
    </cfRule>
  </conditionalFormatting>
  <conditionalFormatting sqref="K146">
    <cfRule type="cellIs" dxfId="5829" priority="4070" operator="between">
      <formula>0.191</formula>
      <formula>0.24</formula>
    </cfRule>
    <cfRule type="cellIs" dxfId="5828" priority="4071" operator="between">
      <formula>0.1251</formula>
      <formula>0.19</formula>
    </cfRule>
    <cfRule type="cellIs" dxfId="5827" priority="4072" operator="greaterThan">
      <formula>0.2601</formula>
    </cfRule>
    <cfRule type="cellIs" dxfId="5826" priority="4073" operator="between">
      <formula>0.2401</formula>
      <formula>0.26</formula>
    </cfRule>
    <cfRule type="cellIs" dxfId="5825" priority="4074" stopIfTrue="1" operator="between">
      <formula>0</formula>
      <formula>0.125</formula>
    </cfRule>
  </conditionalFormatting>
  <conditionalFormatting sqref="K148">
    <cfRule type="cellIs" dxfId="5824" priority="4065" operator="between">
      <formula>0.191</formula>
      <formula>0.24</formula>
    </cfRule>
    <cfRule type="cellIs" dxfId="5823" priority="4066" operator="between">
      <formula>0.1251</formula>
      <formula>0.19</formula>
    </cfRule>
    <cfRule type="cellIs" dxfId="5822" priority="4067" operator="greaterThan">
      <formula>0.2601</formula>
    </cfRule>
    <cfRule type="cellIs" dxfId="5821" priority="4068" operator="between">
      <formula>0.2401</formula>
      <formula>0.26</formula>
    </cfRule>
    <cfRule type="cellIs" dxfId="5820" priority="4069" stopIfTrue="1" operator="between">
      <formula>0</formula>
      <formula>0.125</formula>
    </cfRule>
  </conditionalFormatting>
  <conditionalFormatting sqref="K149">
    <cfRule type="cellIs" dxfId="5819" priority="4060" operator="between">
      <formula>0.191</formula>
      <formula>0.24</formula>
    </cfRule>
    <cfRule type="cellIs" dxfId="5818" priority="4061" operator="between">
      <formula>0.1251</formula>
      <formula>0.19</formula>
    </cfRule>
    <cfRule type="cellIs" dxfId="5817" priority="4062" operator="greaterThan">
      <formula>0.2601</formula>
    </cfRule>
    <cfRule type="cellIs" dxfId="5816" priority="4063" operator="between">
      <formula>0.2401</formula>
      <formula>0.26</formula>
    </cfRule>
    <cfRule type="cellIs" dxfId="5815" priority="4064" stopIfTrue="1" operator="between">
      <formula>0</formula>
      <formula>0.125</formula>
    </cfRule>
  </conditionalFormatting>
  <conditionalFormatting sqref="K150">
    <cfRule type="cellIs" dxfId="5814" priority="4055" operator="between">
      <formula>0.191</formula>
      <formula>0.24</formula>
    </cfRule>
    <cfRule type="cellIs" dxfId="5813" priority="4056" operator="between">
      <formula>0.1251</formula>
      <formula>0.19</formula>
    </cfRule>
    <cfRule type="cellIs" dxfId="5812" priority="4057" operator="greaterThan">
      <formula>0.2601</formula>
    </cfRule>
    <cfRule type="cellIs" dxfId="5811" priority="4058" operator="between">
      <formula>0.2401</formula>
      <formula>0.26</formula>
    </cfRule>
    <cfRule type="cellIs" dxfId="5810" priority="4059" stopIfTrue="1" operator="between">
      <formula>0</formula>
      <formula>0.125</formula>
    </cfRule>
  </conditionalFormatting>
  <conditionalFormatting sqref="K151">
    <cfRule type="cellIs" dxfId="5809" priority="4050" operator="between">
      <formula>0.191</formula>
      <formula>0.24</formula>
    </cfRule>
    <cfRule type="cellIs" dxfId="5808" priority="4051" operator="between">
      <formula>0.1251</formula>
      <formula>0.19</formula>
    </cfRule>
    <cfRule type="cellIs" dxfId="5807" priority="4052" operator="greaterThan">
      <formula>0.2601</formula>
    </cfRule>
    <cfRule type="cellIs" dxfId="5806" priority="4053" operator="between">
      <formula>0.2401</formula>
      <formula>0.26</formula>
    </cfRule>
    <cfRule type="cellIs" dxfId="5805" priority="4054" stopIfTrue="1" operator="between">
      <formula>0</formula>
      <formula>0.125</formula>
    </cfRule>
  </conditionalFormatting>
  <conditionalFormatting sqref="K152">
    <cfRule type="cellIs" dxfId="5804" priority="4045" operator="between">
      <formula>0.191</formula>
      <formula>0.24</formula>
    </cfRule>
    <cfRule type="cellIs" dxfId="5803" priority="4046" operator="between">
      <formula>0.1251</formula>
      <formula>0.19</formula>
    </cfRule>
    <cfRule type="cellIs" dxfId="5802" priority="4047" operator="greaterThan">
      <formula>0.2601</formula>
    </cfRule>
    <cfRule type="cellIs" dxfId="5801" priority="4048" operator="between">
      <formula>0.2401</formula>
      <formula>0.26</formula>
    </cfRule>
    <cfRule type="cellIs" dxfId="5800" priority="4049" stopIfTrue="1" operator="between">
      <formula>0</formula>
      <formula>0.125</formula>
    </cfRule>
  </conditionalFormatting>
  <conditionalFormatting sqref="K153">
    <cfRule type="cellIs" dxfId="5799" priority="4040" operator="between">
      <formula>0.191</formula>
      <formula>0.24</formula>
    </cfRule>
    <cfRule type="cellIs" dxfId="5798" priority="4041" operator="between">
      <formula>0.1251</formula>
      <formula>0.19</formula>
    </cfRule>
    <cfRule type="cellIs" dxfId="5797" priority="4042" operator="greaterThan">
      <formula>0.2601</formula>
    </cfRule>
    <cfRule type="cellIs" dxfId="5796" priority="4043" operator="between">
      <formula>0.2401</formula>
      <formula>0.26</formula>
    </cfRule>
    <cfRule type="cellIs" dxfId="5795" priority="4044" stopIfTrue="1" operator="between">
      <formula>0</formula>
      <formula>0.125</formula>
    </cfRule>
  </conditionalFormatting>
  <conditionalFormatting sqref="K154">
    <cfRule type="cellIs" dxfId="5794" priority="4035" operator="between">
      <formula>0.191</formula>
      <formula>0.24</formula>
    </cfRule>
    <cfRule type="cellIs" dxfId="5793" priority="4036" operator="between">
      <formula>0.1251</formula>
      <formula>0.19</formula>
    </cfRule>
    <cfRule type="cellIs" dxfId="5792" priority="4037" operator="greaterThan">
      <formula>0.2601</formula>
    </cfRule>
    <cfRule type="cellIs" dxfId="5791" priority="4038" operator="between">
      <formula>0.2401</formula>
      <formula>0.26</formula>
    </cfRule>
    <cfRule type="cellIs" dxfId="5790" priority="4039" stopIfTrue="1" operator="between">
      <formula>0</formula>
      <formula>0.125</formula>
    </cfRule>
  </conditionalFormatting>
  <conditionalFormatting sqref="K155">
    <cfRule type="cellIs" dxfId="5789" priority="4030" operator="between">
      <formula>0.191</formula>
      <formula>0.24</formula>
    </cfRule>
    <cfRule type="cellIs" dxfId="5788" priority="4031" operator="between">
      <formula>0.1251</formula>
      <formula>0.19</formula>
    </cfRule>
    <cfRule type="cellIs" dxfId="5787" priority="4032" operator="greaterThan">
      <formula>0.2601</formula>
    </cfRule>
    <cfRule type="cellIs" dxfId="5786" priority="4033" operator="between">
      <formula>0.2401</formula>
      <formula>0.26</formula>
    </cfRule>
    <cfRule type="cellIs" dxfId="5785" priority="4034" stopIfTrue="1" operator="between">
      <formula>0</formula>
      <formula>0.125</formula>
    </cfRule>
  </conditionalFormatting>
  <conditionalFormatting sqref="K156">
    <cfRule type="cellIs" dxfId="5784" priority="4025" operator="between">
      <formula>0.191</formula>
      <formula>0.24</formula>
    </cfRule>
    <cfRule type="cellIs" dxfId="5783" priority="4026" operator="between">
      <formula>0.1251</formula>
      <formula>0.19</formula>
    </cfRule>
    <cfRule type="cellIs" dxfId="5782" priority="4027" operator="greaterThan">
      <formula>0.2601</formula>
    </cfRule>
    <cfRule type="cellIs" dxfId="5781" priority="4028" operator="between">
      <formula>0.2401</formula>
      <formula>0.26</formula>
    </cfRule>
    <cfRule type="cellIs" dxfId="5780" priority="4029" stopIfTrue="1" operator="between">
      <formula>0</formula>
      <formula>0.125</formula>
    </cfRule>
  </conditionalFormatting>
  <conditionalFormatting sqref="K157">
    <cfRule type="cellIs" dxfId="5779" priority="4020" operator="between">
      <formula>0.191</formula>
      <formula>0.24</formula>
    </cfRule>
    <cfRule type="cellIs" dxfId="5778" priority="4021" operator="between">
      <formula>0.1251</formula>
      <formula>0.19</formula>
    </cfRule>
    <cfRule type="cellIs" dxfId="5777" priority="4022" operator="greaterThan">
      <formula>0.2601</formula>
    </cfRule>
    <cfRule type="cellIs" dxfId="5776" priority="4023" operator="between">
      <formula>0.2401</formula>
      <formula>0.26</formula>
    </cfRule>
    <cfRule type="cellIs" dxfId="5775" priority="4024" stopIfTrue="1" operator="between">
      <formula>0</formula>
      <formula>0.125</formula>
    </cfRule>
  </conditionalFormatting>
  <conditionalFormatting sqref="K158">
    <cfRule type="cellIs" dxfId="5774" priority="4015" operator="between">
      <formula>0.191</formula>
      <formula>0.24</formula>
    </cfRule>
    <cfRule type="cellIs" dxfId="5773" priority="4016" operator="between">
      <formula>0.1251</formula>
      <formula>0.19</formula>
    </cfRule>
    <cfRule type="cellIs" dxfId="5772" priority="4017" operator="greaterThan">
      <formula>0.2601</formula>
    </cfRule>
    <cfRule type="cellIs" dxfId="5771" priority="4018" operator="between">
      <formula>0.2401</formula>
      <formula>0.26</formula>
    </cfRule>
    <cfRule type="cellIs" dxfId="5770" priority="4019" stopIfTrue="1" operator="between">
      <formula>0</formula>
      <formula>0.125</formula>
    </cfRule>
  </conditionalFormatting>
  <conditionalFormatting sqref="K159">
    <cfRule type="cellIs" dxfId="5769" priority="4010" operator="between">
      <formula>0.191</formula>
      <formula>0.24</formula>
    </cfRule>
    <cfRule type="cellIs" dxfId="5768" priority="4011" operator="between">
      <formula>0.1251</formula>
      <formula>0.19</formula>
    </cfRule>
    <cfRule type="cellIs" dxfId="5767" priority="4012" operator="greaterThan">
      <formula>0.2601</formula>
    </cfRule>
    <cfRule type="cellIs" dxfId="5766" priority="4013" operator="between">
      <formula>0.2401</formula>
      <formula>0.26</formula>
    </cfRule>
    <cfRule type="cellIs" dxfId="5765" priority="4014" stopIfTrue="1" operator="between">
      <formula>0</formula>
      <formula>0.125</formula>
    </cfRule>
  </conditionalFormatting>
  <conditionalFormatting sqref="K160">
    <cfRule type="cellIs" dxfId="5764" priority="4005" operator="between">
      <formula>0.191</formula>
      <formula>0.24</formula>
    </cfRule>
    <cfRule type="cellIs" dxfId="5763" priority="4006" operator="between">
      <formula>0.1251</formula>
      <formula>0.19</formula>
    </cfRule>
    <cfRule type="cellIs" dxfId="5762" priority="4007" operator="greaterThan">
      <formula>0.2601</formula>
    </cfRule>
    <cfRule type="cellIs" dxfId="5761" priority="4008" operator="between">
      <formula>0.2401</formula>
      <formula>0.26</formula>
    </cfRule>
    <cfRule type="cellIs" dxfId="5760" priority="4009" stopIfTrue="1" operator="between">
      <formula>0</formula>
      <formula>0.125</formula>
    </cfRule>
  </conditionalFormatting>
  <conditionalFormatting sqref="K161">
    <cfRule type="cellIs" dxfId="5759" priority="4000" operator="between">
      <formula>0.191</formula>
      <formula>0.24</formula>
    </cfRule>
    <cfRule type="cellIs" dxfId="5758" priority="4001" operator="between">
      <formula>0.1251</formula>
      <formula>0.19</formula>
    </cfRule>
    <cfRule type="cellIs" dxfId="5757" priority="4002" operator="greaterThan">
      <formula>0.2601</formula>
    </cfRule>
    <cfRule type="cellIs" dxfId="5756" priority="4003" operator="between">
      <formula>0.2401</formula>
      <formula>0.26</formula>
    </cfRule>
    <cfRule type="cellIs" dxfId="5755" priority="4004" stopIfTrue="1" operator="between">
      <formula>0</formula>
      <formula>0.125</formula>
    </cfRule>
  </conditionalFormatting>
  <conditionalFormatting sqref="K162">
    <cfRule type="cellIs" dxfId="5754" priority="3995" operator="between">
      <formula>0.191</formula>
      <formula>0.24</formula>
    </cfRule>
    <cfRule type="cellIs" dxfId="5753" priority="3996" operator="between">
      <formula>0.1251</formula>
      <formula>0.19</formula>
    </cfRule>
    <cfRule type="cellIs" dxfId="5752" priority="3997" operator="greaterThan">
      <formula>0.2601</formula>
    </cfRule>
    <cfRule type="cellIs" dxfId="5751" priority="3998" operator="between">
      <formula>0.2401</formula>
      <formula>0.26</formula>
    </cfRule>
    <cfRule type="cellIs" dxfId="5750" priority="3999" stopIfTrue="1" operator="between">
      <formula>0</formula>
      <formula>0.125</formula>
    </cfRule>
  </conditionalFormatting>
  <conditionalFormatting sqref="K163">
    <cfRule type="cellIs" dxfId="5749" priority="3990" operator="between">
      <formula>0.191</formula>
      <formula>0.24</formula>
    </cfRule>
    <cfRule type="cellIs" dxfId="5748" priority="3991" operator="between">
      <formula>0.1251</formula>
      <formula>0.19</formula>
    </cfRule>
    <cfRule type="cellIs" dxfId="5747" priority="3992" operator="greaterThan">
      <formula>0.2601</formula>
    </cfRule>
    <cfRule type="cellIs" dxfId="5746" priority="3993" operator="between">
      <formula>0.2401</formula>
      <formula>0.26</formula>
    </cfRule>
    <cfRule type="cellIs" dxfId="5745" priority="3994" stopIfTrue="1" operator="between">
      <formula>0</formula>
      <formula>0.125</formula>
    </cfRule>
  </conditionalFormatting>
  <conditionalFormatting sqref="K164">
    <cfRule type="cellIs" dxfId="5744" priority="3985" operator="between">
      <formula>0.191</formula>
      <formula>0.24</formula>
    </cfRule>
    <cfRule type="cellIs" dxfId="5743" priority="3986" operator="between">
      <formula>0.1251</formula>
      <formula>0.19</formula>
    </cfRule>
    <cfRule type="cellIs" dxfId="5742" priority="3987" operator="greaterThan">
      <formula>0.2601</formula>
    </cfRule>
    <cfRule type="cellIs" dxfId="5741" priority="3988" operator="between">
      <formula>0.2401</formula>
      <formula>0.26</formula>
    </cfRule>
    <cfRule type="cellIs" dxfId="5740" priority="3989" stopIfTrue="1" operator="between">
      <formula>0</formula>
      <formula>0.125</formula>
    </cfRule>
  </conditionalFormatting>
  <conditionalFormatting sqref="K165">
    <cfRule type="cellIs" dxfId="5739" priority="3980" operator="between">
      <formula>0.191</formula>
      <formula>0.24</formula>
    </cfRule>
    <cfRule type="cellIs" dxfId="5738" priority="3981" operator="between">
      <formula>0.1251</formula>
      <formula>0.19</formula>
    </cfRule>
    <cfRule type="cellIs" dxfId="5737" priority="3982" operator="greaterThan">
      <formula>0.2601</formula>
    </cfRule>
    <cfRule type="cellIs" dxfId="5736" priority="3983" operator="between">
      <formula>0.2401</formula>
      <formula>0.26</formula>
    </cfRule>
    <cfRule type="cellIs" dxfId="5735" priority="3984" stopIfTrue="1" operator="between">
      <formula>0</formula>
      <formula>0.125</formula>
    </cfRule>
  </conditionalFormatting>
  <conditionalFormatting sqref="K166">
    <cfRule type="cellIs" dxfId="5734" priority="3975" operator="between">
      <formula>0.191</formula>
      <formula>0.24</formula>
    </cfRule>
    <cfRule type="cellIs" dxfId="5733" priority="3976" operator="between">
      <formula>0.1251</formula>
      <formula>0.19</formula>
    </cfRule>
    <cfRule type="cellIs" dxfId="5732" priority="3977" operator="greaterThan">
      <formula>0.2601</formula>
    </cfRule>
    <cfRule type="cellIs" dxfId="5731" priority="3978" operator="between">
      <formula>0.2401</formula>
      <formula>0.26</formula>
    </cfRule>
    <cfRule type="cellIs" dxfId="5730" priority="3979" stopIfTrue="1" operator="between">
      <formula>0</formula>
      <formula>0.125</formula>
    </cfRule>
  </conditionalFormatting>
  <conditionalFormatting sqref="K167">
    <cfRule type="cellIs" dxfId="5729" priority="3970" operator="between">
      <formula>0.191</formula>
      <formula>0.24</formula>
    </cfRule>
    <cfRule type="cellIs" dxfId="5728" priority="3971" operator="between">
      <formula>0.1251</formula>
      <formula>0.19</formula>
    </cfRule>
    <cfRule type="cellIs" dxfId="5727" priority="3972" operator="greaterThan">
      <formula>0.2601</formula>
    </cfRule>
    <cfRule type="cellIs" dxfId="5726" priority="3973" operator="between">
      <formula>0.2401</formula>
      <formula>0.26</formula>
    </cfRule>
    <cfRule type="cellIs" dxfId="5725" priority="3974" stopIfTrue="1" operator="between">
      <formula>0</formula>
      <formula>0.125</formula>
    </cfRule>
  </conditionalFormatting>
  <conditionalFormatting sqref="K168">
    <cfRule type="cellIs" dxfId="5724" priority="3965" operator="between">
      <formula>0.191</formula>
      <formula>0.24</formula>
    </cfRule>
    <cfRule type="cellIs" dxfId="5723" priority="3966" operator="between">
      <formula>0.1251</formula>
      <formula>0.19</formula>
    </cfRule>
    <cfRule type="cellIs" dxfId="5722" priority="3967" operator="greaterThan">
      <formula>0.2601</formula>
    </cfRule>
    <cfRule type="cellIs" dxfId="5721" priority="3968" operator="between">
      <formula>0.2401</formula>
      <formula>0.26</formula>
    </cfRule>
    <cfRule type="cellIs" dxfId="5720" priority="3969" stopIfTrue="1" operator="between">
      <formula>0</formula>
      <formula>0.125</formula>
    </cfRule>
  </conditionalFormatting>
  <conditionalFormatting sqref="K169">
    <cfRule type="cellIs" dxfId="5719" priority="3960" operator="between">
      <formula>0.191</formula>
      <formula>0.24</formula>
    </cfRule>
    <cfRule type="cellIs" dxfId="5718" priority="3961" operator="between">
      <formula>0.1251</formula>
      <formula>0.19</formula>
    </cfRule>
    <cfRule type="cellIs" dxfId="5717" priority="3962" operator="greaterThan">
      <formula>0.2601</formula>
    </cfRule>
    <cfRule type="cellIs" dxfId="5716" priority="3963" operator="between">
      <formula>0.2401</formula>
      <formula>0.26</formula>
    </cfRule>
    <cfRule type="cellIs" dxfId="5715" priority="3964" stopIfTrue="1" operator="between">
      <formula>0</formula>
      <formula>0.125</formula>
    </cfRule>
  </conditionalFormatting>
  <conditionalFormatting sqref="K170">
    <cfRule type="cellIs" dxfId="5714" priority="3955" operator="between">
      <formula>0.191</formula>
      <formula>0.24</formula>
    </cfRule>
    <cfRule type="cellIs" dxfId="5713" priority="3956" operator="between">
      <formula>0.1251</formula>
      <formula>0.19</formula>
    </cfRule>
    <cfRule type="cellIs" dxfId="5712" priority="3957" operator="greaterThan">
      <formula>0.2601</formula>
    </cfRule>
    <cfRule type="cellIs" dxfId="5711" priority="3958" operator="between">
      <formula>0.2401</formula>
      <formula>0.26</formula>
    </cfRule>
    <cfRule type="cellIs" dxfId="5710" priority="3959" stopIfTrue="1" operator="between">
      <formula>0</formula>
      <formula>0.125</formula>
    </cfRule>
  </conditionalFormatting>
  <conditionalFormatting sqref="K171">
    <cfRule type="cellIs" dxfId="5709" priority="3950" operator="between">
      <formula>0.191</formula>
      <formula>0.24</formula>
    </cfRule>
    <cfRule type="cellIs" dxfId="5708" priority="3951" operator="between">
      <formula>0.1251</formula>
      <formula>0.19</formula>
    </cfRule>
    <cfRule type="cellIs" dxfId="5707" priority="3952" operator="greaterThan">
      <formula>0.2601</formula>
    </cfRule>
    <cfRule type="cellIs" dxfId="5706" priority="3953" operator="between">
      <formula>0.2401</formula>
      <formula>0.26</formula>
    </cfRule>
    <cfRule type="cellIs" dxfId="5705" priority="3954" stopIfTrue="1" operator="between">
      <formula>0</formula>
      <formula>0.125</formula>
    </cfRule>
  </conditionalFormatting>
  <conditionalFormatting sqref="K172">
    <cfRule type="cellIs" dxfId="5704" priority="3945" operator="between">
      <formula>0.191</formula>
      <formula>0.24</formula>
    </cfRule>
    <cfRule type="cellIs" dxfId="5703" priority="3946" operator="between">
      <formula>0.1251</formula>
      <formula>0.19</formula>
    </cfRule>
    <cfRule type="cellIs" dxfId="5702" priority="3947" operator="greaterThan">
      <formula>0.2601</formula>
    </cfRule>
    <cfRule type="cellIs" dxfId="5701" priority="3948" operator="between">
      <formula>0.2401</formula>
      <formula>0.26</formula>
    </cfRule>
    <cfRule type="cellIs" dxfId="5700" priority="3949" stopIfTrue="1" operator="between">
      <formula>0</formula>
      <formula>0.125</formula>
    </cfRule>
  </conditionalFormatting>
  <conditionalFormatting sqref="K173">
    <cfRule type="cellIs" dxfId="5699" priority="3940" operator="between">
      <formula>0.191</formula>
      <formula>0.24</formula>
    </cfRule>
    <cfRule type="cellIs" dxfId="5698" priority="3941" operator="between">
      <formula>0.1251</formula>
      <formula>0.19</formula>
    </cfRule>
    <cfRule type="cellIs" dxfId="5697" priority="3942" operator="greaterThan">
      <formula>0.2601</formula>
    </cfRule>
    <cfRule type="cellIs" dxfId="5696" priority="3943" operator="between">
      <formula>0.2401</formula>
      <formula>0.26</formula>
    </cfRule>
    <cfRule type="cellIs" dxfId="5695" priority="3944" stopIfTrue="1" operator="between">
      <formula>0</formula>
      <formula>0.125</formula>
    </cfRule>
  </conditionalFormatting>
  <conditionalFormatting sqref="K174">
    <cfRule type="cellIs" dxfId="5694" priority="3935" operator="between">
      <formula>0.191</formula>
      <formula>0.24</formula>
    </cfRule>
    <cfRule type="cellIs" dxfId="5693" priority="3936" operator="between">
      <formula>0.1251</formula>
      <formula>0.19</formula>
    </cfRule>
    <cfRule type="cellIs" dxfId="5692" priority="3937" operator="greaterThan">
      <formula>0.2601</formula>
    </cfRule>
    <cfRule type="cellIs" dxfId="5691" priority="3938" operator="between">
      <formula>0.2401</formula>
      <formula>0.26</formula>
    </cfRule>
    <cfRule type="cellIs" dxfId="5690" priority="3939" stopIfTrue="1" operator="between">
      <formula>0</formula>
      <formula>0.125</formula>
    </cfRule>
  </conditionalFormatting>
  <conditionalFormatting sqref="K176">
    <cfRule type="cellIs" dxfId="5689" priority="3925" operator="between">
      <formula>0.191</formula>
      <formula>0.24</formula>
    </cfRule>
    <cfRule type="cellIs" dxfId="5688" priority="3926" operator="between">
      <formula>0.1251</formula>
      <formula>0.19</formula>
    </cfRule>
    <cfRule type="cellIs" dxfId="5687" priority="3927" operator="greaterThan">
      <formula>0.2601</formula>
    </cfRule>
    <cfRule type="cellIs" dxfId="5686" priority="3928" operator="between">
      <formula>0.2401</formula>
      <formula>0.26</formula>
    </cfRule>
    <cfRule type="cellIs" dxfId="5685" priority="3929" stopIfTrue="1" operator="between">
      <formula>0</formula>
      <formula>0.125</formula>
    </cfRule>
  </conditionalFormatting>
  <conditionalFormatting sqref="K175">
    <cfRule type="cellIs" dxfId="5684" priority="3920" operator="between">
      <formula>0.191</formula>
      <formula>0.24</formula>
    </cfRule>
    <cfRule type="cellIs" dxfId="5683" priority="3921" operator="between">
      <formula>0.1251</formula>
      <formula>0.19</formula>
    </cfRule>
    <cfRule type="cellIs" dxfId="5682" priority="3922" operator="greaterThan">
      <formula>0.2601</formula>
    </cfRule>
    <cfRule type="cellIs" dxfId="5681" priority="3923" operator="between">
      <formula>0.2401</formula>
      <formula>0.26</formula>
    </cfRule>
    <cfRule type="cellIs" dxfId="5680" priority="3924" stopIfTrue="1" operator="between">
      <formula>0</formula>
      <formula>0.125</formula>
    </cfRule>
  </conditionalFormatting>
  <conditionalFormatting sqref="K177:K178">
    <cfRule type="cellIs" dxfId="5679" priority="3905" operator="between">
      <formula>0.191</formula>
      <formula>0.24</formula>
    </cfRule>
    <cfRule type="cellIs" dxfId="5678" priority="3906" operator="between">
      <formula>0.1251</formula>
      <formula>0.19</formula>
    </cfRule>
    <cfRule type="cellIs" dxfId="5677" priority="3907" operator="greaterThan">
      <formula>0.2601</formula>
    </cfRule>
    <cfRule type="cellIs" dxfId="5676" priority="3908" operator="between">
      <formula>0.2401</formula>
      <formula>0.26</formula>
    </cfRule>
    <cfRule type="cellIs" dxfId="5675" priority="3909" stopIfTrue="1" operator="between">
      <formula>0</formula>
      <formula>0.125</formula>
    </cfRule>
  </conditionalFormatting>
  <conditionalFormatting sqref="K179">
    <cfRule type="cellIs" dxfId="5674" priority="3900" operator="between">
      <formula>0.191</formula>
      <formula>0.24</formula>
    </cfRule>
    <cfRule type="cellIs" dxfId="5673" priority="3901" operator="between">
      <formula>0.1251</formula>
      <formula>0.19</formula>
    </cfRule>
    <cfRule type="cellIs" dxfId="5672" priority="3902" operator="greaterThan">
      <formula>0.2601</formula>
    </cfRule>
    <cfRule type="cellIs" dxfId="5671" priority="3903" operator="between">
      <formula>0.2401</formula>
      <formula>0.26</formula>
    </cfRule>
    <cfRule type="cellIs" dxfId="5670" priority="3904" stopIfTrue="1" operator="between">
      <formula>0</formula>
      <formula>0.125</formula>
    </cfRule>
  </conditionalFormatting>
  <conditionalFormatting sqref="K180">
    <cfRule type="cellIs" dxfId="5669" priority="3895" operator="between">
      <formula>0.191</formula>
      <formula>0.24</formula>
    </cfRule>
    <cfRule type="cellIs" dxfId="5668" priority="3896" operator="between">
      <formula>0.1251</formula>
      <formula>0.19</formula>
    </cfRule>
    <cfRule type="cellIs" dxfId="5667" priority="3897" operator="greaterThan">
      <formula>0.2601</formula>
    </cfRule>
    <cfRule type="cellIs" dxfId="5666" priority="3898" operator="between">
      <formula>0.2401</formula>
      <formula>0.26</formula>
    </cfRule>
    <cfRule type="cellIs" dxfId="5665" priority="3899" stopIfTrue="1" operator="between">
      <formula>0</formula>
      <formula>0.125</formula>
    </cfRule>
  </conditionalFormatting>
  <conditionalFormatting sqref="K181">
    <cfRule type="cellIs" dxfId="5664" priority="3890" operator="between">
      <formula>0.191</formula>
      <formula>0.24</formula>
    </cfRule>
    <cfRule type="cellIs" dxfId="5663" priority="3891" operator="between">
      <formula>0.1251</formula>
      <formula>0.19</formula>
    </cfRule>
    <cfRule type="cellIs" dxfId="5662" priority="3892" operator="greaterThan">
      <formula>0.2601</formula>
    </cfRule>
    <cfRule type="cellIs" dxfId="5661" priority="3893" operator="between">
      <formula>0.2401</formula>
      <formula>0.26</formula>
    </cfRule>
    <cfRule type="cellIs" dxfId="5660" priority="3894" stopIfTrue="1" operator="between">
      <formula>0</formula>
      <formula>0.125</formula>
    </cfRule>
  </conditionalFormatting>
  <conditionalFormatting sqref="K182">
    <cfRule type="cellIs" dxfId="5659" priority="3885" operator="between">
      <formula>0.191</formula>
      <formula>0.24</formula>
    </cfRule>
    <cfRule type="cellIs" dxfId="5658" priority="3886" operator="between">
      <formula>0.1251</formula>
      <formula>0.19</formula>
    </cfRule>
    <cfRule type="cellIs" dxfId="5657" priority="3887" operator="greaterThan">
      <formula>0.2601</formula>
    </cfRule>
    <cfRule type="cellIs" dxfId="5656" priority="3888" operator="between">
      <formula>0.2401</formula>
      <formula>0.26</formula>
    </cfRule>
    <cfRule type="cellIs" dxfId="5655" priority="3889" stopIfTrue="1" operator="between">
      <formula>0</formula>
      <formula>0.125</formula>
    </cfRule>
  </conditionalFormatting>
  <conditionalFormatting sqref="K183">
    <cfRule type="cellIs" dxfId="5654" priority="3880" operator="between">
      <formula>0.191</formula>
      <formula>0.24</formula>
    </cfRule>
    <cfRule type="cellIs" dxfId="5653" priority="3881" operator="between">
      <formula>0.1251</formula>
      <formula>0.19</formula>
    </cfRule>
    <cfRule type="cellIs" dxfId="5652" priority="3882" operator="greaterThan">
      <formula>0.2601</formula>
    </cfRule>
    <cfRule type="cellIs" dxfId="5651" priority="3883" operator="between">
      <formula>0.2401</formula>
      <formula>0.26</formula>
    </cfRule>
    <cfRule type="cellIs" dxfId="5650" priority="3884" stopIfTrue="1" operator="between">
      <formula>0</formula>
      <formula>0.125</formula>
    </cfRule>
  </conditionalFormatting>
  <conditionalFormatting sqref="K184">
    <cfRule type="cellIs" dxfId="5649" priority="3875" operator="between">
      <formula>0.191</formula>
      <formula>0.24</formula>
    </cfRule>
    <cfRule type="cellIs" dxfId="5648" priority="3876" operator="between">
      <formula>0.1251</formula>
      <formula>0.19</formula>
    </cfRule>
    <cfRule type="cellIs" dxfId="5647" priority="3877" operator="greaterThan">
      <formula>0.2601</formula>
    </cfRule>
    <cfRule type="cellIs" dxfId="5646" priority="3878" operator="between">
      <formula>0.2401</formula>
      <formula>0.26</formula>
    </cfRule>
    <cfRule type="cellIs" dxfId="5645" priority="3879" stopIfTrue="1" operator="between">
      <formula>0</formula>
      <formula>0.125</formula>
    </cfRule>
  </conditionalFormatting>
  <conditionalFormatting sqref="K185">
    <cfRule type="cellIs" dxfId="5644" priority="3870" operator="between">
      <formula>0.191</formula>
      <formula>0.24</formula>
    </cfRule>
    <cfRule type="cellIs" dxfId="5643" priority="3871" operator="between">
      <formula>0.1251</formula>
      <formula>0.19</formula>
    </cfRule>
    <cfRule type="cellIs" dxfId="5642" priority="3872" operator="greaterThan">
      <formula>0.2601</formula>
    </cfRule>
    <cfRule type="cellIs" dxfId="5641" priority="3873" operator="between">
      <formula>0.2401</formula>
      <formula>0.26</formula>
    </cfRule>
    <cfRule type="cellIs" dxfId="5640" priority="3874" stopIfTrue="1" operator="between">
      <formula>0</formula>
      <formula>0.125</formula>
    </cfRule>
  </conditionalFormatting>
  <conditionalFormatting sqref="K186">
    <cfRule type="cellIs" dxfId="5639" priority="3865" operator="between">
      <formula>0.191</formula>
      <formula>0.24</formula>
    </cfRule>
    <cfRule type="cellIs" dxfId="5638" priority="3866" operator="between">
      <formula>0.1251</formula>
      <formula>0.19</formula>
    </cfRule>
    <cfRule type="cellIs" dxfId="5637" priority="3867" operator="greaterThan">
      <formula>0.2601</formula>
    </cfRule>
    <cfRule type="cellIs" dxfId="5636" priority="3868" operator="between">
      <formula>0.2401</formula>
      <formula>0.26</formula>
    </cfRule>
    <cfRule type="cellIs" dxfId="5635" priority="3869" stopIfTrue="1" operator="between">
      <formula>0</formula>
      <formula>0.125</formula>
    </cfRule>
  </conditionalFormatting>
  <conditionalFormatting sqref="K187">
    <cfRule type="cellIs" dxfId="5634" priority="3860" operator="between">
      <formula>0.191</formula>
      <formula>0.24</formula>
    </cfRule>
    <cfRule type="cellIs" dxfId="5633" priority="3861" operator="between">
      <formula>0.1251</formula>
      <formula>0.19</formula>
    </cfRule>
    <cfRule type="cellIs" dxfId="5632" priority="3862" operator="greaterThan">
      <formula>0.2601</formula>
    </cfRule>
    <cfRule type="cellIs" dxfId="5631" priority="3863" operator="between">
      <formula>0.2401</formula>
      <formula>0.26</formula>
    </cfRule>
    <cfRule type="cellIs" dxfId="5630" priority="3864" stopIfTrue="1" operator="between">
      <formula>0</formula>
      <formula>0.125</formula>
    </cfRule>
  </conditionalFormatting>
  <conditionalFormatting sqref="K188">
    <cfRule type="cellIs" dxfId="5629" priority="3855" operator="between">
      <formula>0.191</formula>
      <formula>0.24</formula>
    </cfRule>
    <cfRule type="cellIs" dxfId="5628" priority="3856" operator="between">
      <formula>0.1251</formula>
      <formula>0.19</formula>
    </cfRule>
    <cfRule type="cellIs" dxfId="5627" priority="3857" operator="greaterThan">
      <formula>0.2601</formula>
    </cfRule>
    <cfRule type="cellIs" dxfId="5626" priority="3858" operator="between">
      <formula>0.2401</formula>
      <formula>0.26</formula>
    </cfRule>
    <cfRule type="cellIs" dxfId="5625" priority="3859" stopIfTrue="1" operator="between">
      <formula>0</formula>
      <formula>0.125</formula>
    </cfRule>
  </conditionalFormatting>
  <conditionalFormatting sqref="K189">
    <cfRule type="cellIs" dxfId="5624" priority="3850" operator="between">
      <formula>0.191</formula>
      <formula>0.24</formula>
    </cfRule>
    <cfRule type="cellIs" dxfId="5623" priority="3851" operator="between">
      <formula>0.1251</formula>
      <formula>0.19</formula>
    </cfRule>
    <cfRule type="cellIs" dxfId="5622" priority="3852" operator="greaterThan">
      <formula>0.2601</formula>
    </cfRule>
    <cfRule type="cellIs" dxfId="5621" priority="3853" operator="between">
      <formula>0.2401</formula>
      <formula>0.26</formula>
    </cfRule>
    <cfRule type="cellIs" dxfId="5620" priority="3854" stopIfTrue="1" operator="between">
      <formula>0</formula>
      <formula>0.125</formula>
    </cfRule>
  </conditionalFormatting>
  <conditionalFormatting sqref="K190">
    <cfRule type="cellIs" dxfId="5619" priority="3845" operator="between">
      <formula>0.191</formula>
      <formula>0.24</formula>
    </cfRule>
    <cfRule type="cellIs" dxfId="5618" priority="3846" operator="between">
      <formula>0.1251</formula>
      <formula>0.19</formula>
    </cfRule>
    <cfRule type="cellIs" dxfId="5617" priority="3847" operator="greaterThan">
      <formula>0.2601</formula>
    </cfRule>
    <cfRule type="cellIs" dxfId="5616" priority="3848" operator="between">
      <formula>0.2401</formula>
      <formula>0.26</formula>
    </cfRule>
    <cfRule type="cellIs" dxfId="5615" priority="3849" stopIfTrue="1" operator="between">
      <formula>0</formula>
      <formula>0.125</formula>
    </cfRule>
  </conditionalFormatting>
  <conditionalFormatting sqref="K191">
    <cfRule type="cellIs" dxfId="5614" priority="3840" operator="between">
      <formula>0.191</formula>
      <formula>0.24</formula>
    </cfRule>
    <cfRule type="cellIs" dxfId="5613" priority="3841" operator="between">
      <formula>0.1251</formula>
      <formula>0.19</formula>
    </cfRule>
    <cfRule type="cellIs" dxfId="5612" priority="3842" operator="greaterThan">
      <formula>0.2601</formula>
    </cfRule>
    <cfRule type="cellIs" dxfId="5611" priority="3843" operator="between">
      <formula>0.2401</formula>
      <formula>0.26</formula>
    </cfRule>
    <cfRule type="cellIs" dxfId="5610" priority="3844" stopIfTrue="1" operator="between">
      <formula>0</formula>
      <formula>0.125</formula>
    </cfRule>
  </conditionalFormatting>
  <conditionalFormatting sqref="K192">
    <cfRule type="cellIs" dxfId="5609" priority="3835" operator="between">
      <formula>0.191</formula>
      <formula>0.24</formula>
    </cfRule>
    <cfRule type="cellIs" dxfId="5608" priority="3836" operator="between">
      <formula>0.1251</formula>
      <formula>0.19</formula>
    </cfRule>
    <cfRule type="cellIs" dxfId="5607" priority="3837" operator="greaterThan">
      <formula>0.2601</formula>
    </cfRule>
    <cfRule type="cellIs" dxfId="5606" priority="3838" operator="between">
      <formula>0.2401</formula>
      <formula>0.26</formula>
    </cfRule>
    <cfRule type="cellIs" dxfId="5605" priority="3839" stopIfTrue="1" operator="between">
      <formula>0</formula>
      <formula>0.125</formula>
    </cfRule>
  </conditionalFormatting>
  <conditionalFormatting sqref="K195">
    <cfRule type="cellIs" dxfId="5604" priority="3830" operator="between">
      <formula>0.191</formula>
      <formula>0.24</formula>
    </cfRule>
    <cfRule type="cellIs" dxfId="5603" priority="3831" operator="between">
      <formula>0.1251</formula>
      <formula>0.19</formula>
    </cfRule>
    <cfRule type="cellIs" dxfId="5602" priority="3832" operator="greaterThan">
      <formula>0.2601</formula>
    </cfRule>
    <cfRule type="cellIs" dxfId="5601" priority="3833" operator="between">
      <formula>0.2401</formula>
      <formula>0.26</formula>
    </cfRule>
    <cfRule type="cellIs" dxfId="5600" priority="3834" stopIfTrue="1" operator="between">
      <formula>0</formula>
      <formula>0.125</formula>
    </cfRule>
  </conditionalFormatting>
  <conditionalFormatting sqref="K196">
    <cfRule type="cellIs" dxfId="5599" priority="3825" operator="between">
      <formula>0.191</formula>
      <formula>0.24</formula>
    </cfRule>
    <cfRule type="cellIs" dxfId="5598" priority="3826" operator="between">
      <formula>0.1251</formula>
      <formula>0.19</formula>
    </cfRule>
    <cfRule type="cellIs" dxfId="5597" priority="3827" operator="greaterThan">
      <formula>0.2601</formula>
    </cfRule>
    <cfRule type="cellIs" dxfId="5596" priority="3828" operator="between">
      <formula>0.2401</formula>
      <formula>0.26</formula>
    </cfRule>
    <cfRule type="cellIs" dxfId="5595" priority="3829" stopIfTrue="1" operator="between">
      <formula>0</formula>
      <formula>0.125</formula>
    </cfRule>
  </conditionalFormatting>
  <conditionalFormatting sqref="K197">
    <cfRule type="cellIs" dxfId="5594" priority="3820" operator="between">
      <formula>0.191</formula>
      <formula>0.24</formula>
    </cfRule>
    <cfRule type="cellIs" dxfId="5593" priority="3821" operator="between">
      <formula>0.1251</formula>
      <formula>0.19</formula>
    </cfRule>
    <cfRule type="cellIs" dxfId="5592" priority="3822" operator="greaterThan">
      <formula>0.2601</formula>
    </cfRule>
    <cfRule type="cellIs" dxfId="5591" priority="3823" operator="between">
      <formula>0.2401</formula>
      <formula>0.26</formula>
    </cfRule>
    <cfRule type="cellIs" dxfId="5590" priority="3824" stopIfTrue="1" operator="between">
      <formula>0</formula>
      <formula>0.125</formula>
    </cfRule>
  </conditionalFormatting>
  <conditionalFormatting sqref="K198">
    <cfRule type="cellIs" dxfId="5589" priority="3815" operator="between">
      <formula>0.191</formula>
      <formula>0.24</formula>
    </cfRule>
    <cfRule type="cellIs" dxfId="5588" priority="3816" operator="between">
      <formula>0.1251</formula>
      <formula>0.19</formula>
    </cfRule>
    <cfRule type="cellIs" dxfId="5587" priority="3817" operator="greaterThan">
      <formula>0.2601</formula>
    </cfRule>
    <cfRule type="cellIs" dxfId="5586" priority="3818" operator="between">
      <formula>0.2401</formula>
      <formula>0.26</formula>
    </cfRule>
    <cfRule type="cellIs" dxfId="5585" priority="3819" stopIfTrue="1" operator="between">
      <formula>0</formula>
      <formula>0.125</formula>
    </cfRule>
  </conditionalFormatting>
  <conditionalFormatting sqref="K199">
    <cfRule type="cellIs" dxfId="5584" priority="3810" operator="between">
      <formula>0.191</formula>
      <formula>0.24</formula>
    </cfRule>
    <cfRule type="cellIs" dxfId="5583" priority="3811" operator="between">
      <formula>0.1251</formula>
      <formula>0.19</formula>
    </cfRule>
    <cfRule type="cellIs" dxfId="5582" priority="3812" operator="greaterThan">
      <formula>0.2601</formula>
    </cfRule>
    <cfRule type="cellIs" dxfId="5581" priority="3813" operator="between">
      <formula>0.2401</formula>
      <formula>0.26</formula>
    </cfRule>
    <cfRule type="cellIs" dxfId="5580" priority="3814" stopIfTrue="1" operator="between">
      <formula>0</formula>
      <formula>0.125</formula>
    </cfRule>
  </conditionalFormatting>
  <conditionalFormatting sqref="K200">
    <cfRule type="cellIs" dxfId="5579" priority="3805" operator="between">
      <formula>0.191</formula>
      <formula>0.24</formula>
    </cfRule>
    <cfRule type="cellIs" dxfId="5578" priority="3806" operator="between">
      <formula>0.1251</formula>
      <formula>0.19</formula>
    </cfRule>
    <cfRule type="cellIs" dxfId="5577" priority="3807" operator="greaterThan">
      <formula>0.2601</formula>
    </cfRule>
    <cfRule type="cellIs" dxfId="5576" priority="3808" operator="between">
      <formula>0.2401</formula>
      <formula>0.26</formula>
    </cfRule>
    <cfRule type="cellIs" dxfId="5575" priority="3809" stopIfTrue="1" operator="between">
      <formula>0</formula>
      <formula>0.125</formula>
    </cfRule>
  </conditionalFormatting>
  <conditionalFormatting sqref="K201">
    <cfRule type="cellIs" dxfId="5574" priority="3800" operator="between">
      <formula>0.191</formula>
      <formula>0.24</formula>
    </cfRule>
    <cfRule type="cellIs" dxfId="5573" priority="3801" operator="between">
      <formula>0.1251</formula>
      <formula>0.19</formula>
    </cfRule>
    <cfRule type="cellIs" dxfId="5572" priority="3802" operator="greaterThan">
      <formula>0.2601</formula>
    </cfRule>
    <cfRule type="cellIs" dxfId="5571" priority="3803" operator="between">
      <formula>0.2401</formula>
      <formula>0.26</formula>
    </cfRule>
    <cfRule type="cellIs" dxfId="5570" priority="3804" stopIfTrue="1" operator="between">
      <formula>0</formula>
      <formula>0.125</formula>
    </cfRule>
  </conditionalFormatting>
  <conditionalFormatting sqref="K202">
    <cfRule type="cellIs" dxfId="5569" priority="3795" operator="between">
      <formula>0.191</formula>
      <formula>0.24</formula>
    </cfRule>
    <cfRule type="cellIs" dxfId="5568" priority="3796" operator="between">
      <formula>0.1251</formula>
      <formula>0.19</formula>
    </cfRule>
    <cfRule type="cellIs" dxfId="5567" priority="3797" operator="greaterThan">
      <formula>0.2601</formula>
    </cfRule>
    <cfRule type="cellIs" dxfId="5566" priority="3798" operator="between">
      <formula>0.2401</formula>
      <formula>0.26</formula>
    </cfRule>
    <cfRule type="cellIs" dxfId="5565" priority="3799" stopIfTrue="1" operator="between">
      <formula>0</formula>
      <formula>0.125</formula>
    </cfRule>
  </conditionalFormatting>
  <conditionalFormatting sqref="K203">
    <cfRule type="cellIs" dxfId="5564" priority="3790" operator="between">
      <formula>0.191</formula>
      <formula>0.24</formula>
    </cfRule>
    <cfRule type="cellIs" dxfId="5563" priority="3791" operator="between">
      <formula>0.1251</formula>
      <formula>0.19</formula>
    </cfRule>
    <cfRule type="cellIs" dxfId="5562" priority="3792" operator="greaterThan">
      <formula>0.2601</formula>
    </cfRule>
    <cfRule type="cellIs" dxfId="5561" priority="3793" operator="between">
      <formula>0.2401</formula>
      <formula>0.26</formula>
    </cfRule>
    <cfRule type="cellIs" dxfId="5560" priority="3794" stopIfTrue="1" operator="between">
      <formula>0</formula>
      <formula>0.125</formula>
    </cfRule>
  </conditionalFormatting>
  <conditionalFormatting sqref="K204">
    <cfRule type="cellIs" dxfId="5559" priority="3785" operator="between">
      <formula>0.191</formula>
      <formula>0.24</formula>
    </cfRule>
    <cfRule type="cellIs" dxfId="5558" priority="3786" operator="between">
      <formula>0.1251</formula>
      <formula>0.19</formula>
    </cfRule>
    <cfRule type="cellIs" dxfId="5557" priority="3787" operator="greaterThan">
      <formula>0.2601</formula>
    </cfRule>
    <cfRule type="cellIs" dxfId="5556" priority="3788" operator="between">
      <formula>0.2401</formula>
      <formula>0.26</formula>
    </cfRule>
    <cfRule type="cellIs" dxfId="5555" priority="3789" stopIfTrue="1" operator="between">
      <formula>0</formula>
      <formula>0.125</formula>
    </cfRule>
  </conditionalFormatting>
  <conditionalFormatting sqref="K205">
    <cfRule type="cellIs" dxfId="5554" priority="3780" operator="between">
      <formula>0.191</formula>
      <formula>0.24</formula>
    </cfRule>
    <cfRule type="cellIs" dxfId="5553" priority="3781" operator="between">
      <formula>0.1251</formula>
      <formula>0.19</formula>
    </cfRule>
    <cfRule type="cellIs" dxfId="5552" priority="3782" operator="greaterThan">
      <formula>0.2601</formula>
    </cfRule>
    <cfRule type="cellIs" dxfId="5551" priority="3783" operator="between">
      <formula>0.2401</formula>
      <formula>0.26</formula>
    </cfRule>
    <cfRule type="cellIs" dxfId="5550" priority="3784" stopIfTrue="1" operator="between">
      <formula>0</formula>
      <formula>0.125</formula>
    </cfRule>
  </conditionalFormatting>
  <conditionalFormatting sqref="K206">
    <cfRule type="cellIs" dxfId="5549" priority="3765" operator="between">
      <formula>0.191</formula>
      <formula>0.24</formula>
    </cfRule>
    <cfRule type="cellIs" dxfId="5548" priority="3766" operator="between">
      <formula>0.1251</formula>
      <formula>0.19</formula>
    </cfRule>
    <cfRule type="cellIs" dxfId="5547" priority="3767" operator="greaterThan">
      <formula>0.2601</formula>
    </cfRule>
    <cfRule type="cellIs" dxfId="5546" priority="3768" operator="between">
      <formula>0.2401</formula>
      <formula>0.26</formula>
    </cfRule>
    <cfRule type="cellIs" dxfId="5545" priority="3769" stopIfTrue="1" operator="between">
      <formula>0</formula>
      <formula>0.125</formula>
    </cfRule>
  </conditionalFormatting>
  <conditionalFormatting sqref="K207">
    <cfRule type="cellIs" dxfId="5544" priority="3760" operator="between">
      <formula>0.191</formula>
      <formula>0.24</formula>
    </cfRule>
    <cfRule type="cellIs" dxfId="5543" priority="3761" operator="between">
      <formula>0.1251</formula>
      <formula>0.19</formula>
    </cfRule>
    <cfRule type="cellIs" dxfId="5542" priority="3762" operator="greaterThan">
      <formula>0.2601</formula>
    </cfRule>
    <cfRule type="cellIs" dxfId="5541" priority="3763" operator="between">
      <formula>0.2401</formula>
      <formula>0.26</formula>
    </cfRule>
    <cfRule type="cellIs" dxfId="5540" priority="3764" stopIfTrue="1" operator="between">
      <formula>0</formula>
      <formula>0.125</formula>
    </cfRule>
  </conditionalFormatting>
  <conditionalFormatting sqref="K208">
    <cfRule type="cellIs" dxfId="5539" priority="3755" operator="between">
      <formula>0.191</formula>
      <formula>0.24</formula>
    </cfRule>
    <cfRule type="cellIs" dxfId="5538" priority="3756" operator="between">
      <formula>0.1251</formula>
      <formula>0.19</formula>
    </cfRule>
    <cfRule type="cellIs" dxfId="5537" priority="3757" operator="greaterThan">
      <formula>0.2601</formula>
    </cfRule>
    <cfRule type="cellIs" dxfId="5536" priority="3758" operator="between">
      <formula>0.2401</formula>
      <formula>0.26</formula>
    </cfRule>
    <cfRule type="cellIs" dxfId="5535" priority="3759" stopIfTrue="1" operator="between">
      <formula>0</formula>
      <formula>0.125</formula>
    </cfRule>
  </conditionalFormatting>
  <conditionalFormatting sqref="K209">
    <cfRule type="cellIs" dxfId="5534" priority="3750" operator="between">
      <formula>0.191</formula>
      <formula>0.24</formula>
    </cfRule>
    <cfRule type="cellIs" dxfId="5533" priority="3751" operator="between">
      <formula>0.1251</formula>
      <formula>0.19</formula>
    </cfRule>
    <cfRule type="cellIs" dxfId="5532" priority="3752" operator="greaterThan">
      <formula>0.2601</formula>
    </cfRule>
    <cfRule type="cellIs" dxfId="5531" priority="3753" operator="between">
      <formula>0.2401</formula>
      <formula>0.26</formula>
    </cfRule>
    <cfRule type="cellIs" dxfId="5530" priority="3754" stopIfTrue="1" operator="between">
      <formula>0</formula>
      <formula>0.125</formula>
    </cfRule>
  </conditionalFormatting>
  <conditionalFormatting sqref="K210">
    <cfRule type="cellIs" dxfId="5529" priority="3745" operator="between">
      <formula>0.191</formula>
      <formula>0.24</formula>
    </cfRule>
    <cfRule type="cellIs" dxfId="5528" priority="3746" operator="between">
      <formula>0.1251</formula>
      <formula>0.19</formula>
    </cfRule>
    <cfRule type="cellIs" dxfId="5527" priority="3747" operator="greaterThan">
      <formula>0.2601</formula>
    </cfRule>
    <cfRule type="cellIs" dxfId="5526" priority="3748" operator="between">
      <formula>0.2401</formula>
      <formula>0.26</formula>
    </cfRule>
    <cfRule type="cellIs" dxfId="5525" priority="3749" stopIfTrue="1" operator="between">
      <formula>0</formula>
      <formula>0.125</formula>
    </cfRule>
  </conditionalFormatting>
  <conditionalFormatting sqref="K211">
    <cfRule type="cellIs" dxfId="5524" priority="3740" operator="between">
      <formula>0.191</formula>
      <formula>0.24</formula>
    </cfRule>
    <cfRule type="cellIs" dxfId="5523" priority="3741" operator="between">
      <formula>0.1251</formula>
      <formula>0.19</formula>
    </cfRule>
    <cfRule type="cellIs" dxfId="5522" priority="3742" operator="greaterThan">
      <formula>0.2601</formula>
    </cfRule>
    <cfRule type="cellIs" dxfId="5521" priority="3743" operator="between">
      <formula>0.2401</formula>
      <formula>0.26</formula>
    </cfRule>
    <cfRule type="cellIs" dxfId="5520" priority="3744" stopIfTrue="1" operator="between">
      <formula>0</formula>
      <formula>0.125</formula>
    </cfRule>
  </conditionalFormatting>
  <conditionalFormatting sqref="K212">
    <cfRule type="cellIs" dxfId="5519" priority="3735" operator="between">
      <formula>0.191</formula>
      <formula>0.24</formula>
    </cfRule>
    <cfRule type="cellIs" dxfId="5518" priority="3736" operator="between">
      <formula>0.1251</formula>
      <formula>0.19</formula>
    </cfRule>
    <cfRule type="cellIs" dxfId="5517" priority="3737" operator="greaterThan">
      <formula>0.2601</formula>
    </cfRule>
    <cfRule type="cellIs" dxfId="5516" priority="3738" operator="between">
      <formula>0.2401</formula>
      <formula>0.26</formula>
    </cfRule>
    <cfRule type="cellIs" dxfId="5515" priority="3739" stopIfTrue="1" operator="between">
      <formula>0</formula>
      <formula>0.125</formula>
    </cfRule>
  </conditionalFormatting>
  <conditionalFormatting sqref="K213">
    <cfRule type="cellIs" dxfId="5514" priority="3730" operator="between">
      <formula>0.191</formula>
      <formula>0.24</formula>
    </cfRule>
    <cfRule type="cellIs" dxfId="5513" priority="3731" operator="between">
      <formula>0.1251</formula>
      <formula>0.19</formula>
    </cfRule>
    <cfRule type="cellIs" dxfId="5512" priority="3732" operator="greaterThan">
      <formula>0.2601</formula>
    </cfRule>
    <cfRule type="cellIs" dxfId="5511" priority="3733" operator="between">
      <formula>0.2401</formula>
      <formula>0.26</formula>
    </cfRule>
    <cfRule type="cellIs" dxfId="5510" priority="3734" stopIfTrue="1" operator="between">
      <formula>0</formula>
      <formula>0.125</formula>
    </cfRule>
  </conditionalFormatting>
  <conditionalFormatting sqref="K215">
    <cfRule type="cellIs" dxfId="5509" priority="3725" operator="between">
      <formula>0.191</formula>
      <formula>0.24</formula>
    </cfRule>
    <cfRule type="cellIs" dxfId="5508" priority="3726" operator="between">
      <formula>0.1251</formula>
      <formula>0.19</formula>
    </cfRule>
    <cfRule type="cellIs" dxfId="5507" priority="3727" operator="greaterThan">
      <formula>0.2601</formula>
    </cfRule>
    <cfRule type="cellIs" dxfId="5506" priority="3728" operator="between">
      <formula>0.2401</formula>
      <formula>0.26</formula>
    </cfRule>
    <cfRule type="cellIs" dxfId="5505" priority="3729" stopIfTrue="1" operator="between">
      <formula>0</formula>
      <formula>0.125</formula>
    </cfRule>
  </conditionalFormatting>
  <conditionalFormatting sqref="K216">
    <cfRule type="cellIs" dxfId="5504" priority="3720" operator="between">
      <formula>0.191</formula>
      <formula>0.24</formula>
    </cfRule>
    <cfRule type="cellIs" dxfId="5503" priority="3721" operator="between">
      <formula>0.1251</formula>
      <formula>0.19</formula>
    </cfRule>
    <cfRule type="cellIs" dxfId="5502" priority="3722" operator="greaterThan">
      <formula>0.2601</formula>
    </cfRule>
    <cfRule type="cellIs" dxfId="5501" priority="3723" operator="between">
      <formula>0.2401</formula>
      <formula>0.26</formula>
    </cfRule>
    <cfRule type="cellIs" dxfId="5500" priority="3724" stopIfTrue="1" operator="between">
      <formula>0</formula>
      <formula>0.125</formula>
    </cfRule>
  </conditionalFormatting>
  <conditionalFormatting sqref="K217">
    <cfRule type="cellIs" dxfId="5499" priority="3715" operator="between">
      <formula>0.191</formula>
      <formula>0.24</formula>
    </cfRule>
    <cfRule type="cellIs" dxfId="5498" priority="3716" operator="between">
      <formula>0.1251</formula>
      <formula>0.19</formula>
    </cfRule>
    <cfRule type="cellIs" dxfId="5497" priority="3717" operator="greaterThan">
      <formula>0.2601</formula>
    </cfRule>
    <cfRule type="cellIs" dxfId="5496" priority="3718" operator="between">
      <formula>0.2401</formula>
      <formula>0.26</formula>
    </cfRule>
    <cfRule type="cellIs" dxfId="5495" priority="3719" stopIfTrue="1" operator="between">
      <formula>0</formula>
      <formula>0.125</formula>
    </cfRule>
  </conditionalFormatting>
  <conditionalFormatting sqref="K218:K219">
    <cfRule type="cellIs" dxfId="5494" priority="3700" operator="between">
      <formula>0.191</formula>
      <formula>0.24</formula>
    </cfRule>
    <cfRule type="cellIs" dxfId="5493" priority="3701" operator="between">
      <formula>0.1251</formula>
      <formula>0.19</formula>
    </cfRule>
    <cfRule type="cellIs" dxfId="5492" priority="3702" operator="greaterThan">
      <formula>0.2601</formula>
    </cfRule>
    <cfRule type="cellIs" dxfId="5491" priority="3703" operator="between">
      <formula>0.2401</formula>
      <formula>0.26</formula>
    </cfRule>
    <cfRule type="cellIs" dxfId="5490" priority="3704" stopIfTrue="1" operator="between">
      <formula>0</formula>
      <formula>0.125</formula>
    </cfRule>
  </conditionalFormatting>
  <conditionalFormatting sqref="K220">
    <cfRule type="cellIs" dxfId="5489" priority="3695" operator="between">
      <formula>0.191</formula>
      <formula>0.24</formula>
    </cfRule>
    <cfRule type="cellIs" dxfId="5488" priority="3696" operator="between">
      <formula>0.1251</formula>
      <formula>0.19</formula>
    </cfRule>
    <cfRule type="cellIs" dxfId="5487" priority="3697" operator="greaterThan">
      <formula>0.2601</formula>
    </cfRule>
    <cfRule type="cellIs" dxfId="5486" priority="3698" operator="between">
      <formula>0.2401</formula>
      <formula>0.26</formula>
    </cfRule>
    <cfRule type="cellIs" dxfId="5485" priority="3699" stopIfTrue="1" operator="between">
      <formula>0</formula>
      <formula>0.125</formula>
    </cfRule>
  </conditionalFormatting>
  <conditionalFormatting sqref="K221">
    <cfRule type="cellIs" dxfId="5484" priority="3690" operator="between">
      <formula>0.191</formula>
      <formula>0.24</formula>
    </cfRule>
    <cfRule type="cellIs" dxfId="5483" priority="3691" operator="between">
      <formula>0.1251</formula>
      <formula>0.19</formula>
    </cfRule>
    <cfRule type="cellIs" dxfId="5482" priority="3692" operator="greaterThan">
      <formula>0.2601</formula>
    </cfRule>
    <cfRule type="cellIs" dxfId="5481" priority="3693" operator="between">
      <formula>0.2401</formula>
      <formula>0.26</formula>
    </cfRule>
    <cfRule type="cellIs" dxfId="5480" priority="3694" stopIfTrue="1" operator="between">
      <formula>0</formula>
      <formula>0.125</formula>
    </cfRule>
  </conditionalFormatting>
  <conditionalFormatting sqref="K222">
    <cfRule type="cellIs" dxfId="5479" priority="3685" operator="between">
      <formula>0.191</formula>
      <formula>0.24</formula>
    </cfRule>
    <cfRule type="cellIs" dxfId="5478" priority="3686" operator="between">
      <formula>0.1251</formula>
      <formula>0.19</formula>
    </cfRule>
    <cfRule type="cellIs" dxfId="5477" priority="3687" operator="greaterThan">
      <formula>0.2601</formula>
    </cfRule>
    <cfRule type="cellIs" dxfId="5476" priority="3688" operator="between">
      <formula>0.2401</formula>
      <formula>0.26</formula>
    </cfRule>
    <cfRule type="cellIs" dxfId="5475" priority="3689" stopIfTrue="1" operator="between">
      <formula>0</formula>
      <formula>0.125</formula>
    </cfRule>
  </conditionalFormatting>
  <conditionalFormatting sqref="K223:K225">
    <cfRule type="cellIs" dxfId="5474" priority="3665" operator="between">
      <formula>0.191</formula>
      <formula>0.24</formula>
    </cfRule>
    <cfRule type="cellIs" dxfId="5473" priority="3666" operator="between">
      <formula>0.1251</formula>
      <formula>0.19</formula>
    </cfRule>
    <cfRule type="cellIs" dxfId="5472" priority="3667" operator="greaterThan">
      <formula>0.2601</formula>
    </cfRule>
    <cfRule type="cellIs" dxfId="5471" priority="3668" operator="between">
      <formula>0.2401</formula>
      <formula>0.26</formula>
    </cfRule>
    <cfRule type="cellIs" dxfId="5470" priority="3669" stopIfTrue="1" operator="between">
      <formula>0</formula>
      <formula>0.125</formula>
    </cfRule>
  </conditionalFormatting>
  <conditionalFormatting sqref="K67">
    <cfRule type="cellIs" dxfId="5469" priority="3660" operator="between">
      <formula>0.76</formula>
      <formula>0.95</formula>
    </cfRule>
    <cfRule type="cellIs" dxfId="5468" priority="3661" operator="between">
      <formula>0.51</formula>
      <formula>0.75</formula>
    </cfRule>
    <cfRule type="cellIs" dxfId="5467" priority="3662" operator="greaterThan">
      <formula>1</formula>
    </cfRule>
    <cfRule type="cellIs" dxfId="5466" priority="3663" operator="between">
      <formula>0.95</formula>
      <formula>1</formula>
    </cfRule>
    <cfRule type="cellIs" dxfId="5465" priority="3664" stopIfTrue="1" operator="between">
      <formula>0</formula>
      <formula>0.5</formula>
    </cfRule>
  </conditionalFormatting>
  <conditionalFormatting sqref="I105">
    <cfRule type="cellIs" dxfId="5464" priority="3652" operator="between">
      <formula>0.76</formula>
      <formula>0.95</formula>
    </cfRule>
    <cfRule type="cellIs" dxfId="5463" priority="3653" operator="between">
      <formula>0.51</formula>
      <formula>0.75</formula>
    </cfRule>
    <cfRule type="cellIs" dxfId="5462" priority="3654" operator="greaterThan">
      <formula>1</formula>
    </cfRule>
    <cfRule type="cellIs" dxfId="5461" priority="3655" operator="between">
      <formula>0.95</formula>
      <formula>1</formula>
    </cfRule>
    <cfRule type="cellIs" dxfId="5460" priority="3656" stopIfTrue="1" operator="between">
      <formula>0</formula>
      <formula>0.5</formula>
    </cfRule>
  </conditionalFormatting>
  <conditionalFormatting sqref="K105">
    <cfRule type="cellIs" dxfId="5459" priority="3647" operator="between">
      <formula>0.191</formula>
      <formula>0.24</formula>
    </cfRule>
    <cfRule type="cellIs" dxfId="5458" priority="3648" operator="between">
      <formula>0.1251</formula>
      <formula>0.19</formula>
    </cfRule>
    <cfRule type="cellIs" dxfId="5457" priority="3649" operator="greaterThan">
      <formula>0.2601</formula>
    </cfRule>
    <cfRule type="cellIs" dxfId="5456" priority="3650" operator="between">
      <formula>0.2401</formula>
      <formula>0.26</formula>
    </cfRule>
    <cfRule type="cellIs" dxfId="5455" priority="3651" stopIfTrue="1" operator="between">
      <formula>0</formula>
      <formula>0.125</formula>
    </cfRule>
  </conditionalFormatting>
  <conditionalFormatting sqref="P105">
    <cfRule type="cellIs" dxfId="5454" priority="3639" operator="between">
      <formula>0.76</formula>
      <formula>0.95</formula>
    </cfRule>
    <cfRule type="cellIs" dxfId="5453" priority="3640" operator="between">
      <formula>0.51</formula>
      <formula>0.75</formula>
    </cfRule>
    <cfRule type="cellIs" dxfId="5452" priority="3641" operator="greaterThan">
      <formula>1</formula>
    </cfRule>
    <cfRule type="cellIs" dxfId="5451" priority="3642" operator="between">
      <formula>0.95</formula>
      <formula>1</formula>
    </cfRule>
    <cfRule type="cellIs" dxfId="5450" priority="3643" stopIfTrue="1" operator="between">
      <formula>0</formula>
      <formula>0.5</formula>
    </cfRule>
  </conditionalFormatting>
  <conditionalFormatting sqref="W105">
    <cfRule type="cellIs" dxfId="5449" priority="3626" operator="between">
      <formula>0.76</formula>
      <formula>0.95</formula>
    </cfRule>
    <cfRule type="cellIs" dxfId="5448" priority="3627" operator="between">
      <formula>0.51</formula>
      <formula>0.75</formula>
    </cfRule>
    <cfRule type="cellIs" dxfId="5447" priority="3628" operator="greaterThan">
      <formula>1</formula>
    </cfRule>
    <cfRule type="cellIs" dxfId="5446" priority="3629" operator="between">
      <formula>0.95</formula>
      <formula>1</formula>
    </cfRule>
    <cfRule type="cellIs" dxfId="5445" priority="3630" stopIfTrue="1" operator="between">
      <formula>0</formula>
      <formula>0.5</formula>
    </cfRule>
  </conditionalFormatting>
  <conditionalFormatting sqref="Y105">
    <cfRule type="cellIs" dxfId="5444" priority="3621" operator="between">
      <formula>0.76</formula>
      <formula>0.95</formula>
    </cfRule>
    <cfRule type="cellIs" dxfId="5443" priority="3622" operator="between">
      <formula>0.51</formula>
      <formula>0.75</formula>
    </cfRule>
    <cfRule type="cellIs" dxfId="5442" priority="3623" operator="greaterThan">
      <formula>1</formula>
    </cfRule>
    <cfRule type="cellIs" dxfId="5441" priority="3624" operator="between">
      <formula>0.95</formula>
      <formula>1</formula>
    </cfRule>
    <cfRule type="cellIs" dxfId="5440" priority="3625" stopIfTrue="1" operator="between">
      <formula>0</formula>
      <formula>0.5</formula>
    </cfRule>
  </conditionalFormatting>
  <conditionalFormatting sqref="AD105">
    <cfRule type="cellIs" dxfId="5439" priority="3613" operator="between">
      <formula>0.76</formula>
      <formula>0.95</formula>
    </cfRule>
    <cfRule type="cellIs" dxfId="5438" priority="3614" operator="between">
      <formula>0.51</formula>
      <formula>0.75</formula>
    </cfRule>
    <cfRule type="cellIs" dxfId="5437" priority="3615" operator="greaterThan">
      <formula>1</formula>
    </cfRule>
    <cfRule type="cellIs" dxfId="5436" priority="3616" operator="between">
      <formula>0.95</formula>
      <formula>1</formula>
    </cfRule>
    <cfRule type="cellIs" dxfId="5435" priority="3617" stopIfTrue="1" operator="between">
      <formula>0</formula>
      <formula>0.5</formula>
    </cfRule>
  </conditionalFormatting>
  <conditionalFormatting sqref="AF105">
    <cfRule type="cellIs" dxfId="5434" priority="3608" operator="between">
      <formula>0.76</formula>
      <formula>0.95</formula>
    </cfRule>
    <cfRule type="cellIs" dxfId="5433" priority="3609" operator="between">
      <formula>0.51</formula>
      <formula>0.75</formula>
    </cfRule>
    <cfRule type="cellIs" dxfId="5432" priority="3610" operator="greaterThan">
      <formula>1</formula>
    </cfRule>
    <cfRule type="cellIs" dxfId="5431" priority="3611" operator="between">
      <formula>0.95</formula>
      <formula>1</formula>
    </cfRule>
    <cfRule type="cellIs" dxfId="5430" priority="3612" stopIfTrue="1" operator="between">
      <formula>0</formula>
      <formula>0.5</formula>
    </cfRule>
  </conditionalFormatting>
  <conditionalFormatting sqref="I141">
    <cfRule type="cellIs" dxfId="5429" priority="3600" operator="between">
      <formula>0.76</formula>
      <formula>0.95</formula>
    </cfRule>
    <cfRule type="cellIs" dxfId="5428" priority="3601" operator="between">
      <formula>0.51</formula>
      <formula>0.75</formula>
    </cfRule>
    <cfRule type="cellIs" dxfId="5427" priority="3602" operator="greaterThan">
      <formula>1</formula>
    </cfRule>
    <cfRule type="cellIs" dxfId="5426" priority="3603" operator="between">
      <formula>0.95</formula>
      <formula>1</formula>
    </cfRule>
    <cfRule type="cellIs" dxfId="5425" priority="3604" stopIfTrue="1" operator="between">
      <formula>0</formula>
      <formula>0.5</formula>
    </cfRule>
  </conditionalFormatting>
  <conditionalFormatting sqref="K141">
    <cfRule type="cellIs" dxfId="5424" priority="3595" operator="between">
      <formula>0.191</formula>
      <formula>0.24</formula>
    </cfRule>
    <cfRule type="cellIs" dxfId="5423" priority="3596" operator="between">
      <formula>0.1251</formula>
      <formula>0.19</formula>
    </cfRule>
    <cfRule type="cellIs" dxfId="5422" priority="3597" operator="greaterThan">
      <formula>0.2601</formula>
    </cfRule>
    <cfRule type="cellIs" dxfId="5421" priority="3598" operator="between">
      <formula>0.2401</formula>
      <formula>0.26</formula>
    </cfRule>
    <cfRule type="cellIs" dxfId="5420" priority="3599" stopIfTrue="1" operator="between">
      <formula>0</formula>
      <formula>0.125</formula>
    </cfRule>
  </conditionalFormatting>
  <conditionalFormatting sqref="P141">
    <cfRule type="cellIs" dxfId="5419" priority="3590" operator="between">
      <formula>0.76</formula>
      <formula>0.95</formula>
    </cfRule>
    <cfRule type="cellIs" dxfId="5418" priority="3591" operator="between">
      <formula>0.51</formula>
      <formula>0.75</formula>
    </cfRule>
    <cfRule type="cellIs" dxfId="5417" priority="3592" operator="greaterThan">
      <formula>1</formula>
    </cfRule>
    <cfRule type="cellIs" dxfId="5416" priority="3593" operator="between">
      <formula>0.95</formula>
      <formula>1</formula>
    </cfRule>
    <cfRule type="cellIs" dxfId="5415" priority="3594" stopIfTrue="1" operator="between">
      <formula>0</formula>
      <formula>0.5</formula>
    </cfRule>
  </conditionalFormatting>
  <conditionalFormatting sqref="W141">
    <cfRule type="cellIs" dxfId="5414" priority="3577" operator="between">
      <formula>0.76</formula>
      <formula>0.95</formula>
    </cfRule>
    <cfRule type="cellIs" dxfId="5413" priority="3578" operator="between">
      <formula>0.51</formula>
      <formula>0.75</formula>
    </cfRule>
    <cfRule type="cellIs" dxfId="5412" priority="3579" operator="greaterThan">
      <formula>1</formula>
    </cfRule>
    <cfRule type="cellIs" dxfId="5411" priority="3580" operator="between">
      <formula>0.95</formula>
      <formula>1</formula>
    </cfRule>
    <cfRule type="cellIs" dxfId="5410" priority="3581" stopIfTrue="1" operator="between">
      <formula>0</formula>
      <formula>0.5</formula>
    </cfRule>
  </conditionalFormatting>
  <conditionalFormatting sqref="Y141">
    <cfRule type="cellIs" dxfId="5409" priority="3572" operator="between">
      <formula>0.76</formula>
      <formula>0.95</formula>
    </cfRule>
    <cfRule type="cellIs" dxfId="5408" priority="3573" operator="between">
      <formula>0.51</formula>
      <formula>0.75</formula>
    </cfRule>
    <cfRule type="cellIs" dxfId="5407" priority="3574" operator="greaterThan">
      <formula>1</formula>
    </cfRule>
    <cfRule type="cellIs" dxfId="5406" priority="3575" operator="between">
      <formula>0.95</formula>
      <formula>1</formula>
    </cfRule>
    <cfRule type="cellIs" dxfId="5405" priority="3576" stopIfTrue="1" operator="between">
      <formula>0</formula>
      <formula>0.5</formula>
    </cfRule>
  </conditionalFormatting>
  <conditionalFormatting sqref="AD141">
    <cfRule type="cellIs" dxfId="5404" priority="3564" operator="between">
      <formula>0.76</formula>
      <formula>0.95</formula>
    </cfRule>
    <cfRule type="cellIs" dxfId="5403" priority="3565" operator="between">
      <formula>0.51</formula>
      <formula>0.75</formula>
    </cfRule>
    <cfRule type="cellIs" dxfId="5402" priority="3566" operator="greaterThan">
      <formula>1</formula>
    </cfRule>
    <cfRule type="cellIs" dxfId="5401" priority="3567" operator="between">
      <formula>0.95</formula>
      <formula>1</formula>
    </cfRule>
    <cfRule type="cellIs" dxfId="5400" priority="3568" stopIfTrue="1" operator="between">
      <formula>0</formula>
      <formula>0.5</formula>
    </cfRule>
  </conditionalFormatting>
  <conditionalFormatting sqref="AF141">
    <cfRule type="cellIs" dxfId="5399" priority="3559" operator="between">
      <formula>0.76</formula>
      <formula>0.95</formula>
    </cfRule>
    <cfRule type="cellIs" dxfId="5398" priority="3560" operator="between">
      <formula>0.51</formula>
      <formula>0.75</formula>
    </cfRule>
    <cfRule type="cellIs" dxfId="5397" priority="3561" operator="greaterThan">
      <formula>1</formula>
    </cfRule>
    <cfRule type="cellIs" dxfId="5396" priority="3562" operator="between">
      <formula>0.95</formula>
      <formula>1</formula>
    </cfRule>
    <cfRule type="cellIs" dxfId="5395" priority="3563" stopIfTrue="1" operator="between">
      <formula>0</formula>
      <formula>0.5</formula>
    </cfRule>
  </conditionalFormatting>
  <conditionalFormatting sqref="I100">
    <cfRule type="cellIs" dxfId="5394" priority="3548" operator="between">
      <formula>0.76</formula>
      <formula>0.95</formula>
    </cfRule>
    <cfRule type="cellIs" dxfId="5393" priority="3549" operator="between">
      <formula>0.51</formula>
      <formula>0.75</formula>
    </cfRule>
    <cfRule type="cellIs" dxfId="5392" priority="3550" operator="greaterThan">
      <formula>1</formula>
    </cfRule>
    <cfRule type="cellIs" dxfId="5391" priority="3551" operator="between">
      <formula>0.95</formula>
      <formula>1</formula>
    </cfRule>
    <cfRule type="cellIs" dxfId="5390" priority="3552" stopIfTrue="1" operator="between">
      <formula>0</formula>
      <formula>0.5</formula>
    </cfRule>
  </conditionalFormatting>
  <conditionalFormatting sqref="K100">
    <cfRule type="cellIs" dxfId="5389" priority="3543" operator="between">
      <formula>0.191</formula>
      <formula>0.24</formula>
    </cfRule>
    <cfRule type="cellIs" dxfId="5388" priority="3544" operator="between">
      <formula>0.1251</formula>
      <formula>0.19</formula>
    </cfRule>
    <cfRule type="cellIs" dxfId="5387" priority="3545" operator="greaterThan">
      <formula>0.2601</formula>
    </cfRule>
    <cfRule type="cellIs" dxfId="5386" priority="3546" operator="between">
      <formula>0.2401</formula>
      <formula>0.26</formula>
    </cfRule>
    <cfRule type="cellIs" dxfId="5385" priority="3547" stopIfTrue="1" operator="between">
      <formula>0</formula>
      <formula>0.125</formula>
    </cfRule>
  </conditionalFormatting>
  <conditionalFormatting sqref="P100">
    <cfRule type="cellIs" dxfId="5384" priority="3535" operator="between">
      <formula>0.76</formula>
      <formula>0.95</formula>
    </cfRule>
    <cfRule type="cellIs" dxfId="5383" priority="3536" operator="between">
      <formula>0.51</formula>
      <formula>0.75</formula>
    </cfRule>
    <cfRule type="cellIs" dxfId="5382" priority="3537" operator="greaterThan">
      <formula>1</formula>
    </cfRule>
    <cfRule type="cellIs" dxfId="5381" priority="3538" operator="between">
      <formula>0.95</formula>
      <formula>1</formula>
    </cfRule>
    <cfRule type="cellIs" dxfId="5380" priority="3539" stopIfTrue="1" operator="between">
      <formula>0</formula>
      <formula>0.5</formula>
    </cfRule>
  </conditionalFormatting>
  <conditionalFormatting sqref="W100">
    <cfRule type="cellIs" dxfId="5379" priority="3522" operator="between">
      <formula>0.76</formula>
      <formula>0.95</formula>
    </cfRule>
    <cfRule type="cellIs" dxfId="5378" priority="3523" operator="between">
      <formula>0.51</formula>
      <formula>0.75</formula>
    </cfRule>
    <cfRule type="cellIs" dxfId="5377" priority="3524" operator="greaterThan">
      <formula>1</formula>
    </cfRule>
    <cfRule type="cellIs" dxfId="5376" priority="3525" operator="between">
      <formula>0.95</formula>
      <formula>1</formula>
    </cfRule>
    <cfRule type="cellIs" dxfId="5375" priority="3526" stopIfTrue="1" operator="between">
      <formula>0</formula>
      <formula>0.5</formula>
    </cfRule>
  </conditionalFormatting>
  <conditionalFormatting sqref="Y100">
    <cfRule type="cellIs" dxfId="5374" priority="3517" operator="between">
      <formula>0.76</formula>
      <formula>0.95</formula>
    </cfRule>
    <cfRule type="cellIs" dxfId="5373" priority="3518" operator="between">
      <formula>0.51</formula>
      <formula>0.75</formula>
    </cfRule>
    <cfRule type="cellIs" dxfId="5372" priority="3519" operator="greaterThan">
      <formula>1</formula>
    </cfRule>
    <cfRule type="cellIs" dxfId="5371" priority="3520" operator="between">
      <formula>0.95</formula>
      <formula>1</formula>
    </cfRule>
    <cfRule type="cellIs" dxfId="5370" priority="3521" stopIfTrue="1" operator="between">
      <formula>0</formula>
      <formula>0.5</formula>
    </cfRule>
  </conditionalFormatting>
  <conditionalFormatting sqref="AD100">
    <cfRule type="cellIs" dxfId="5369" priority="3509" operator="between">
      <formula>0.76</formula>
      <formula>0.95</formula>
    </cfRule>
    <cfRule type="cellIs" dxfId="5368" priority="3510" operator="between">
      <formula>0.51</formula>
      <formula>0.75</formula>
    </cfRule>
    <cfRule type="cellIs" dxfId="5367" priority="3511" operator="greaterThan">
      <formula>1</formula>
    </cfRule>
    <cfRule type="cellIs" dxfId="5366" priority="3512" operator="between">
      <formula>0.95</formula>
      <formula>1</formula>
    </cfRule>
    <cfRule type="cellIs" dxfId="5365" priority="3513" stopIfTrue="1" operator="between">
      <formula>0</formula>
      <formula>0.5</formula>
    </cfRule>
  </conditionalFormatting>
  <conditionalFormatting sqref="AF100">
    <cfRule type="cellIs" dxfId="5364" priority="3504" operator="between">
      <formula>0.76</formula>
      <formula>0.95</formula>
    </cfRule>
    <cfRule type="cellIs" dxfId="5363" priority="3505" operator="between">
      <formula>0.51</formula>
      <formula>0.75</formula>
    </cfRule>
    <cfRule type="cellIs" dxfId="5362" priority="3506" operator="greaterThan">
      <formula>1</formula>
    </cfRule>
    <cfRule type="cellIs" dxfId="5361" priority="3507" operator="between">
      <formula>0.95</formula>
      <formula>1</formula>
    </cfRule>
    <cfRule type="cellIs" dxfId="5360" priority="3508" stopIfTrue="1" operator="between">
      <formula>0</formula>
      <formula>0.5</formula>
    </cfRule>
  </conditionalFormatting>
  <conditionalFormatting sqref="I79">
    <cfRule type="cellIs" dxfId="5359" priority="3496" operator="between">
      <formula>0.76</formula>
      <formula>0.95</formula>
    </cfRule>
    <cfRule type="cellIs" dxfId="5358" priority="3497" operator="between">
      <formula>0.51</formula>
      <formula>0.75</formula>
    </cfRule>
    <cfRule type="cellIs" dxfId="5357" priority="3498" operator="greaterThan">
      <formula>1</formula>
    </cfRule>
    <cfRule type="cellIs" dxfId="5356" priority="3499" operator="between">
      <formula>0.95</formula>
      <formula>1</formula>
    </cfRule>
    <cfRule type="cellIs" dxfId="5355" priority="3500" stopIfTrue="1" operator="between">
      <formula>0</formula>
      <formula>0.5</formula>
    </cfRule>
  </conditionalFormatting>
  <conditionalFormatting sqref="K79">
    <cfRule type="cellIs" dxfId="5354" priority="3491" operator="between">
      <formula>0.191</formula>
      <formula>0.24</formula>
    </cfRule>
    <cfRule type="cellIs" dxfId="5353" priority="3492" operator="between">
      <formula>0.1251</formula>
      <formula>0.19</formula>
    </cfRule>
    <cfRule type="cellIs" dxfId="5352" priority="3493" operator="greaterThan">
      <formula>0.2601</formula>
    </cfRule>
    <cfRule type="cellIs" dxfId="5351" priority="3494" operator="between">
      <formula>0.2401</formula>
      <formula>0.26</formula>
    </cfRule>
    <cfRule type="cellIs" dxfId="5350" priority="3495" stopIfTrue="1" operator="between">
      <formula>0</formula>
      <formula>0.125</formula>
    </cfRule>
  </conditionalFormatting>
  <conditionalFormatting sqref="I80">
    <cfRule type="cellIs" dxfId="5349" priority="3483" operator="between">
      <formula>0.76</formula>
      <formula>0.95</formula>
    </cfRule>
    <cfRule type="cellIs" dxfId="5348" priority="3484" operator="between">
      <formula>0.51</formula>
      <formula>0.75</formula>
    </cfRule>
    <cfRule type="cellIs" dxfId="5347" priority="3485" operator="greaterThan">
      <formula>1</formula>
    </cfRule>
    <cfRule type="cellIs" dxfId="5346" priority="3486" operator="between">
      <formula>0.95</formula>
      <formula>1</formula>
    </cfRule>
    <cfRule type="cellIs" dxfId="5345" priority="3487" stopIfTrue="1" operator="between">
      <formula>0</formula>
      <formula>0.5</formula>
    </cfRule>
  </conditionalFormatting>
  <conditionalFormatting sqref="K80">
    <cfRule type="cellIs" dxfId="5344" priority="3478" operator="between">
      <formula>0.191</formula>
      <formula>0.24</formula>
    </cfRule>
    <cfRule type="cellIs" dxfId="5343" priority="3479" operator="between">
      <formula>0.1251</formula>
      <formula>0.19</formula>
    </cfRule>
    <cfRule type="cellIs" dxfId="5342" priority="3480" operator="greaterThan">
      <formula>0.2601</formula>
    </cfRule>
    <cfRule type="cellIs" dxfId="5341" priority="3481" operator="between">
      <formula>0.2401</formula>
      <formula>0.26</formula>
    </cfRule>
    <cfRule type="cellIs" dxfId="5340" priority="3482" stopIfTrue="1" operator="between">
      <formula>0</formula>
      <formula>0.125</formula>
    </cfRule>
  </conditionalFormatting>
  <conditionalFormatting sqref="P79:P80">
    <cfRule type="cellIs" dxfId="5339" priority="3467" operator="between">
      <formula>0.76</formula>
      <formula>0.95</formula>
    </cfRule>
    <cfRule type="cellIs" dxfId="5338" priority="3468" operator="between">
      <formula>0.51</formula>
      <formula>0.75</formula>
    </cfRule>
    <cfRule type="cellIs" dxfId="5337" priority="3469" operator="greaterThan">
      <formula>1</formula>
    </cfRule>
    <cfRule type="cellIs" dxfId="5336" priority="3470" operator="between">
      <formula>0.95</formula>
      <formula>1</formula>
    </cfRule>
    <cfRule type="cellIs" dxfId="5335" priority="3471" stopIfTrue="1" operator="between">
      <formula>0</formula>
      <formula>0.5</formula>
    </cfRule>
  </conditionalFormatting>
  <conditionalFormatting sqref="W79:W80">
    <cfRule type="cellIs" dxfId="5334" priority="3457" operator="between">
      <formula>0.76</formula>
      <formula>0.95</formula>
    </cfRule>
    <cfRule type="cellIs" dxfId="5333" priority="3458" operator="between">
      <formula>0.51</formula>
      <formula>0.75</formula>
    </cfRule>
    <cfRule type="cellIs" dxfId="5332" priority="3459" operator="greaterThan">
      <formula>1</formula>
    </cfRule>
    <cfRule type="cellIs" dxfId="5331" priority="3460" operator="between">
      <formula>0.95</formula>
      <formula>1</formula>
    </cfRule>
    <cfRule type="cellIs" dxfId="5330" priority="3461" stopIfTrue="1" operator="between">
      <formula>0</formula>
      <formula>0.5</formula>
    </cfRule>
  </conditionalFormatting>
  <conditionalFormatting sqref="Y79:Y80">
    <cfRule type="cellIs" dxfId="5329" priority="3452" operator="between">
      <formula>0.76</formula>
      <formula>0.95</formula>
    </cfRule>
    <cfRule type="cellIs" dxfId="5328" priority="3453" operator="between">
      <formula>0.51</formula>
      <formula>0.75</formula>
    </cfRule>
    <cfRule type="cellIs" dxfId="5327" priority="3454" operator="greaterThan">
      <formula>1</formula>
    </cfRule>
    <cfRule type="cellIs" dxfId="5326" priority="3455" operator="between">
      <formula>0.95</formula>
      <formula>1</formula>
    </cfRule>
    <cfRule type="cellIs" dxfId="5325" priority="3456" stopIfTrue="1" operator="between">
      <formula>0</formula>
      <formula>0.5</formula>
    </cfRule>
  </conditionalFormatting>
  <conditionalFormatting sqref="AD79:AD80">
    <cfRule type="cellIs" dxfId="5324" priority="3444" operator="between">
      <formula>0.76</formula>
      <formula>0.95</formula>
    </cfRule>
    <cfRule type="cellIs" dxfId="5323" priority="3445" operator="between">
      <formula>0.51</formula>
      <formula>0.75</formula>
    </cfRule>
    <cfRule type="cellIs" dxfId="5322" priority="3446" operator="greaterThan">
      <formula>1</formula>
    </cfRule>
    <cfRule type="cellIs" dxfId="5321" priority="3447" operator="between">
      <formula>0.95</formula>
      <formula>1</formula>
    </cfRule>
    <cfRule type="cellIs" dxfId="5320" priority="3448" stopIfTrue="1" operator="between">
      <formula>0</formula>
      <formula>0.5</formula>
    </cfRule>
  </conditionalFormatting>
  <conditionalFormatting sqref="AF79:AF80">
    <cfRule type="cellIs" dxfId="5319" priority="3439" operator="between">
      <formula>0.76</formula>
      <formula>0.95</formula>
    </cfRule>
    <cfRule type="cellIs" dxfId="5318" priority="3440" operator="between">
      <formula>0.51</formula>
      <formula>0.75</formula>
    </cfRule>
    <cfRule type="cellIs" dxfId="5317" priority="3441" operator="greaterThan">
      <formula>1</formula>
    </cfRule>
    <cfRule type="cellIs" dxfId="5316" priority="3442" operator="between">
      <formula>0.95</formula>
      <formula>1</formula>
    </cfRule>
    <cfRule type="cellIs" dxfId="5315" priority="3443" stopIfTrue="1" operator="between">
      <formula>0</formula>
      <formula>0.5</formula>
    </cfRule>
  </conditionalFormatting>
  <conditionalFormatting sqref="I24">
    <cfRule type="cellIs" dxfId="5314" priority="3428" operator="between">
      <formula>0.76</formula>
      <formula>0.95</formula>
    </cfRule>
    <cfRule type="cellIs" dxfId="5313" priority="3429" operator="between">
      <formula>0.51</formula>
      <formula>0.75</formula>
    </cfRule>
    <cfRule type="cellIs" dxfId="5312" priority="3430" operator="greaterThan">
      <formula>1</formula>
    </cfRule>
    <cfRule type="cellIs" dxfId="5311" priority="3431" operator="between">
      <formula>0.95</formula>
      <formula>1</formula>
    </cfRule>
    <cfRule type="cellIs" dxfId="5310" priority="3432" stopIfTrue="1" operator="between">
      <formula>0</formula>
      <formula>0.5</formula>
    </cfRule>
  </conditionalFormatting>
  <conditionalFormatting sqref="K24">
    <cfRule type="cellIs" dxfId="5309" priority="3423" operator="between">
      <formula>0.191</formula>
      <formula>0.24</formula>
    </cfRule>
    <cfRule type="cellIs" dxfId="5308" priority="3424" operator="between">
      <formula>0.1251</formula>
      <formula>0.19</formula>
    </cfRule>
    <cfRule type="cellIs" dxfId="5307" priority="3425" operator="greaterThan">
      <formula>0.2601</formula>
    </cfRule>
    <cfRule type="cellIs" dxfId="5306" priority="3426" operator="between">
      <formula>0.2401</formula>
      <formula>0.26</formula>
    </cfRule>
    <cfRule type="cellIs" dxfId="5305" priority="3427" stopIfTrue="1" operator="between">
      <formula>0</formula>
      <formula>0.125</formula>
    </cfRule>
  </conditionalFormatting>
  <conditionalFormatting sqref="P24">
    <cfRule type="cellIs" dxfId="5304" priority="3415" operator="between">
      <formula>0.76</formula>
      <formula>0.95</formula>
    </cfRule>
    <cfRule type="cellIs" dxfId="5303" priority="3416" operator="between">
      <formula>0.51</formula>
      <formula>0.75</formula>
    </cfRule>
    <cfRule type="cellIs" dxfId="5302" priority="3417" operator="greaterThan">
      <formula>1</formula>
    </cfRule>
    <cfRule type="cellIs" dxfId="5301" priority="3418" operator="between">
      <formula>0.95</formula>
      <formula>1</formula>
    </cfRule>
    <cfRule type="cellIs" dxfId="5300" priority="3419" stopIfTrue="1" operator="between">
      <formula>0</formula>
      <formula>0.5</formula>
    </cfRule>
  </conditionalFormatting>
  <conditionalFormatting sqref="W24">
    <cfRule type="cellIs" dxfId="5299" priority="3402" operator="between">
      <formula>0.76</formula>
      <formula>0.95</formula>
    </cfRule>
    <cfRule type="cellIs" dxfId="5298" priority="3403" operator="between">
      <formula>0.51</formula>
      <formula>0.75</formula>
    </cfRule>
    <cfRule type="cellIs" dxfId="5297" priority="3404" operator="greaterThan">
      <formula>1</formula>
    </cfRule>
    <cfRule type="cellIs" dxfId="5296" priority="3405" operator="between">
      <formula>0.95</formula>
      <formula>1</formula>
    </cfRule>
    <cfRule type="cellIs" dxfId="5295" priority="3406" stopIfTrue="1" operator="between">
      <formula>0</formula>
      <formula>0.5</formula>
    </cfRule>
  </conditionalFormatting>
  <conditionalFormatting sqref="Y24">
    <cfRule type="cellIs" dxfId="5294" priority="3397" operator="between">
      <formula>0.76</formula>
      <formula>0.95</formula>
    </cfRule>
    <cfRule type="cellIs" dxfId="5293" priority="3398" operator="between">
      <formula>0.51</formula>
      <formula>0.75</formula>
    </cfRule>
    <cfRule type="cellIs" dxfId="5292" priority="3399" operator="greaterThan">
      <formula>1</formula>
    </cfRule>
    <cfRule type="cellIs" dxfId="5291" priority="3400" operator="between">
      <formula>0.95</formula>
      <formula>1</formula>
    </cfRule>
    <cfRule type="cellIs" dxfId="5290" priority="3401" stopIfTrue="1" operator="between">
      <formula>0</formula>
      <formula>0.5</formula>
    </cfRule>
  </conditionalFormatting>
  <conditionalFormatting sqref="AD24">
    <cfRule type="cellIs" dxfId="5289" priority="3389" operator="between">
      <formula>0.76</formula>
      <formula>0.95</formula>
    </cfRule>
    <cfRule type="cellIs" dxfId="5288" priority="3390" operator="between">
      <formula>0.51</formula>
      <formula>0.75</formula>
    </cfRule>
    <cfRule type="cellIs" dxfId="5287" priority="3391" operator="greaterThan">
      <formula>1</formula>
    </cfRule>
    <cfRule type="cellIs" dxfId="5286" priority="3392" operator="between">
      <formula>0.95</formula>
      <formula>1</formula>
    </cfRule>
    <cfRule type="cellIs" dxfId="5285" priority="3393" stopIfTrue="1" operator="between">
      <formula>0</formula>
      <formula>0.5</formula>
    </cfRule>
  </conditionalFormatting>
  <conditionalFormatting sqref="I103">
    <cfRule type="cellIs" dxfId="5284" priority="3376" operator="between">
      <formula>0.76</formula>
      <formula>0.95</formula>
    </cfRule>
    <cfRule type="cellIs" dxfId="5283" priority="3377" operator="between">
      <formula>0.51</formula>
      <formula>0.75</formula>
    </cfRule>
    <cfRule type="cellIs" dxfId="5282" priority="3378" operator="greaterThan">
      <formula>1</formula>
    </cfRule>
    <cfRule type="cellIs" dxfId="5281" priority="3379" operator="between">
      <formula>0.95</formula>
      <formula>1</formula>
    </cfRule>
    <cfRule type="cellIs" dxfId="5280" priority="3380" stopIfTrue="1" operator="between">
      <formula>0</formula>
      <formula>0.5</formula>
    </cfRule>
  </conditionalFormatting>
  <conditionalFormatting sqref="K103">
    <cfRule type="cellIs" dxfId="5279" priority="3371" operator="between">
      <formula>0.191</formula>
      <formula>0.24</formula>
    </cfRule>
    <cfRule type="cellIs" dxfId="5278" priority="3372" operator="between">
      <formula>0.1251</formula>
      <formula>0.19</formula>
    </cfRule>
    <cfRule type="cellIs" dxfId="5277" priority="3373" operator="greaterThan">
      <formula>0.2601</formula>
    </cfRule>
    <cfRule type="cellIs" dxfId="5276" priority="3374" operator="between">
      <formula>0.2401</formula>
      <formula>0.26</formula>
    </cfRule>
    <cfRule type="cellIs" dxfId="5275" priority="3375" stopIfTrue="1" operator="between">
      <formula>0</formula>
      <formula>0.125</formula>
    </cfRule>
  </conditionalFormatting>
  <conditionalFormatting sqref="P103">
    <cfRule type="cellIs" dxfId="5274" priority="3366" operator="between">
      <formula>0.76</formula>
      <formula>0.95</formula>
    </cfRule>
    <cfRule type="cellIs" dxfId="5273" priority="3367" operator="between">
      <formula>0.51</formula>
      <formula>0.75</formula>
    </cfRule>
    <cfRule type="cellIs" dxfId="5272" priority="3368" operator="greaterThan">
      <formula>1</formula>
    </cfRule>
    <cfRule type="cellIs" dxfId="5271" priority="3369" operator="between">
      <formula>0.95</formula>
      <formula>1</formula>
    </cfRule>
    <cfRule type="cellIs" dxfId="5270" priority="3370" stopIfTrue="1" operator="between">
      <formula>0</formula>
      <formula>0.5</formula>
    </cfRule>
  </conditionalFormatting>
  <conditionalFormatting sqref="W103">
    <cfRule type="cellIs" dxfId="5269" priority="3353" operator="between">
      <formula>0.76</formula>
      <formula>0.95</formula>
    </cfRule>
    <cfRule type="cellIs" dxfId="5268" priority="3354" operator="between">
      <formula>0.51</formula>
      <formula>0.75</formula>
    </cfRule>
    <cfRule type="cellIs" dxfId="5267" priority="3355" operator="greaterThan">
      <formula>1</formula>
    </cfRule>
    <cfRule type="cellIs" dxfId="5266" priority="3356" operator="between">
      <formula>0.95</formula>
      <formula>1</formula>
    </cfRule>
    <cfRule type="cellIs" dxfId="5265" priority="3357" stopIfTrue="1" operator="between">
      <formula>0</formula>
      <formula>0.5</formula>
    </cfRule>
  </conditionalFormatting>
  <conditionalFormatting sqref="Y103">
    <cfRule type="cellIs" dxfId="5264" priority="3348" operator="between">
      <formula>0.76</formula>
      <formula>0.95</formula>
    </cfRule>
    <cfRule type="cellIs" dxfId="5263" priority="3349" operator="between">
      <formula>0.51</formula>
      <formula>0.75</formula>
    </cfRule>
    <cfRule type="cellIs" dxfId="5262" priority="3350" operator="greaterThan">
      <formula>1</formula>
    </cfRule>
    <cfRule type="cellIs" dxfId="5261" priority="3351" operator="between">
      <formula>0.95</formula>
      <formula>1</formula>
    </cfRule>
    <cfRule type="cellIs" dxfId="5260" priority="3352" stopIfTrue="1" operator="between">
      <formula>0</formula>
      <formula>0.5</formula>
    </cfRule>
  </conditionalFormatting>
  <conditionalFormatting sqref="AD103">
    <cfRule type="cellIs" dxfId="5259" priority="3340" operator="between">
      <formula>0.76</formula>
      <formula>0.95</formula>
    </cfRule>
    <cfRule type="cellIs" dxfId="5258" priority="3341" operator="between">
      <formula>0.51</formula>
      <formula>0.75</formula>
    </cfRule>
    <cfRule type="cellIs" dxfId="5257" priority="3342" operator="greaterThan">
      <formula>1</formula>
    </cfRule>
    <cfRule type="cellIs" dxfId="5256" priority="3343" operator="between">
      <formula>0.95</formula>
      <formula>1</formula>
    </cfRule>
    <cfRule type="cellIs" dxfId="5255" priority="3344" stopIfTrue="1" operator="between">
      <formula>0</formula>
      <formula>0.5</formula>
    </cfRule>
  </conditionalFormatting>
  <conditionalFormatting sqref="AF103">
    <cfRule type="cellIs" dxfId="5254" priority="3335" operator="between">
      <formula>0.76</formula>
      <formula>0.95</formula>
    </cfRule>
    <cfRule type="cellIs" dxfId="5253" priority="3336" operator="between">
      <formula>0.51</formula>
      <formula>0.75</formula>
    </cfRule>
    <cfRule type="cellIs" dxfId="5252" priority="3337" operator="greaterThan">
      <formula>1</formula>
    </cfRule>
    <cfRule type="cellIs" dxfId="5251" priority="3338" operator="between">
      <formula>0.95</formula>
      <formula>1</formula>
    </cfRule>
    <cfRule type="cellIs" dxfId="5250" priority="3339" stopIfTrue="1" operator="between">
      <formula>0</formula>
      <formula>0.5</formula>
    </cfRule>
  </conditionalFormatting>
  <conditionalFormatting sqref="I90">
    <cfRule type="cellIs" dxfId="5249" priority="3324" operator="between">
      <formula>0.76</formula>
      <formula>0.95</formula>
    </cfRule>
    <cfRule type="cellIs" dxfId="5248" priority="3325" operator="between">
      <formula>0.51</formula>
      <formula>0.75</formula>
    </cfRule>
    <cfRule type="cellIs" dxfId="5247" priority="3326" operator="greaterThan">
      <formula>1</formula>
    </cfRule>
    <cfRule type="cellIs" dxfId="5246" priority="3327" operator="between">
      <formula>0.95</formula>
      <formula>1</formula>
    </cfRule>
    <cfRule type="cellIs" dxfId="5245" priority="3328" stopIfTrue="1" operator="between">
      <formula>0</formula>
      <formula>0.5</formula>
    </cfRule>
  </conditionalFormatting>
  <conditionalFormatting sqref="K90">
    <cfRule type="cellIs" dxfId="5244" priority="3319" operator="between">
      <formula>0.191</formula>
      <formula>0.24</formula>
    </cfRule>
    <cfRule type="cellIs" dxfId="5243" priority="3320" operator="between">
      <formula>0.1251</formula>
      <formula>0.19</formula>
    </cfRule>
    <cfRule type="cellIs" dxfId="5242" priority="3321" operator="greaterThan">
      <formula>0.2601</formula>
    </cfRule>
    <cfRule type="cellIs" dxfId="5241" priority="3322" operator="between">
      <formula>0.2401</formula>
      <formula>0.26</formula>
    </cfRule>
    <cfRule type="cellIs" dxfId="5240" priority="3323" stopIfTrue="1" operator="between">
      <formula>0</formula>
      <formula>0.125</formula>
    </cfRule>
  </conditionalFormatting>
  <conditionalFormatting sqref="P90">
    <cfRule type="cellIs" dxfId="5239" priority="3314" operator="between">
      <formula>0.76</formula>
      <formula>0.95</formula>
    </cfRule>
    <cfRule type="cellIs" dxfId="5238" priority="3315" operator="between">
      <formula>0.51</formula>
      <formula>0.75</formula>
    </cfRule>
    <cfRule type="cellIs" dxfId="5237" priority="3316" operator="greaterThan">
      <formula>1</formula>
    </cfRule>
    <cfRule type="cellIs" dxfId="5236" priority="3317" operator="between">
      <formula>0.95</formula>
      <formula>1</formula>
    </cfRule>
    <cfRule type="cellIs" dxfId="5235" priority="3318" stopIfTrue="1" operator="between">
      <formula>0</formula>
      <formula>0.5</formula>
    </cfRule>
  </conditionalFormatting>
  <conditionalFormatting sqref="W90">
    <cfRule type="cellIs" dxfId="5234" priority="3298" operator="between">
      <formula>0.76</formula>
      <formula>0.95</formula>
    </cfRule>
    <cfRule type="cellIs" dxfId="5233" priority="3299" operator="between">
      <formula>0.51</formula>
      <formula>0.75</formula>
    </cfRule>
    <cfRule type="cellIs" dxfId="5232" priority="3300" operator="greaterThan">
      <formula>1</formula>
    </cfRule>
    <cfRule type="cellIs" dxfId="5231" priority="3301" operator="between">
      <formula>0.95</formula>
      <formula>1</formula>
    </cfRule>
    <cfRule type="cellIs" dxfId="5230" priority="3302" stopIfTrue="1" operator="between">
      <formula>0</formula>
      <formula>0.5</formula>
    </cfRule>
  </conditionalFormatting>
  <conditionalFormatting sqref="Y90">
    <cfRule type="cellIs" dxfId="5229" priority="3293" operator="between">
      <formula>0.76</formula>
      <formula>0.95</formula>
    </cfRule>
    <cfRule type="cellIs" dxfId="5228" priority="3294" operator="between">
      <formula>0.51</formula>
      <formula>0.75</formula>
    </cfRule>
    <cfRule type="cellIs" dxfId="5227" priority="3295" operator="greaterThan">
      <formula>1</formula>
    </cfRule>
    <cfRule type="cellIs" dxfId="5226" priority="3296" operator="between">
      <formula>0.95</formula>
      <formula>1</formula>
    </cfRule>
    <cfRule type="cellIs" dxfId="5225" priority="3297" stopIfTrue="1" operator="between">
      <formula>0</formula>
      <formula>0.5</formula>
    </cfRule>
  </conditionalFormatting>
  <conditionalFormatting sqref="AD90">
    <cfRule type="cellIs" dxfId="5224" priority="3288" operator="between">
      <formula>0.76</formula>
      <formula>0.95</formula>
    </cfRule>
    <cfRule type="cellIs" dxfId="5223" priority="3289" operator="between">
      <formula>0.51</formula>
      <formula>0.75</formula>
    </cfRule>
    <cfRule type="cellIs" dxfId="5222" priority="3290" operator="greaterThan">
      <formula>1</formula>
    </cfRule>
    <cfRule type="cellIs" dxfId="5221" priority="3291" operator="between">
      <formula>0.95</formula>
      <formula>1</formula>
    </cfRule>
    <cfRule type="cellIs" dxfId="5220" priority="3292" stopIfTrue="1" operator="between">
      <formula>0</formula>
      <formula>0.5</formula>
    </cfRule>
  </conditionalFormatting>
  <conditionalFormatting sqref="AF90">
    <cfRule type="cellIs" dxfId="5219" priority="3283" operator="between">
      <formula>0.76</formula>
      <formula>0.95</formula>
    </cfRule>
    <cfRule type="cellIs" dxfId="5218" priority="3284" operator="between">
      <formula>0.51</formula>
      <formula>0.75</formula>
    </cfRule>
    <cfRule type="cellIs" dxfId="5217" priority="3285" operator="greaterThan">
      <formula>1</formula>
    </cfRule>
    <cfRule type="cellIs" dxfId="5216" priority="3286" operator="between">
      <formula>0.95</formula>
      <formula>1</formula>
    </cfRule>
    <cfRule type="cellIs" dxfId="5215" priority="3287" stopIfTrue="1" operator="between">
      <formula>0</formula>
      <formula>0.5</formula>
    </cfRule>
  </conditionalFormatting>
  <conditionalFormatting sqref="I214">
    <cfRule type="cellIs" dxfId="5214" priority="3269" operator="between">
      <formula>0.76</formula>
      <formula>0.95</formula>
    </cfRule>
    <cfRule type="cellIs" dxfId="5213" priority="3270" operator="between">
      <formula>0.51</formula>
      <formula>0.75</formula>
    </cfRule>
    <cfRule type="cellIs" dxfId="5212" priority="3271" operator="greaterThan">
      <formula>1</formula>
    </cfRule>
    <cfRule type="cellIs" dxfId="5211" priority="3272" operator="between">
      <formula>0.95</formula>
      <formula>1</formula>
    </cfRule>
    <cfRule type="cellIs" dxfId="5210" priority="3273" stopIfTrue="1" operator="between">
      <formula>0</formula>
      <formula>0.5</formula>
    </cfRule>
  </conditionalFormatting>
  <conditionalFormatting sqref="K214">
    <cfRule type="cellIs" dxfId="5209" priority="3264" operator="between">
      <formula>0.191</formula>
      <formula>0.24</formula>
    </cfRule>
    <cfRule type="cellIs" dxfId="5208" priority="3265" operator="between">
      <formula>0.1251</formula>
      <formula>0.19</formula>
    </cfRule>
    <cfRule type="cellIs" dxfId="5207" priority="3266" operator="greaterThan">
      <formula>0.2601</formula>
    </cfRule>
    <cfRule type="cellIs" dxfId="5206" priority="3267" operator="between">
      <formula>0.2401</formula>
      <formula>0.26</formula>
    </cfRule>
    <cfRule type="cellIs" dxfId="5205" priority="3268" stopIfTrue="1" operator="between">
      <formula>0</formula>
      <formula>0.125</formula>
    </cfRule>
  </conditionalFormatting>
  <conditionalFormatting sqref="I63">
    <cfRule type="cellIs" dxfId="5204" priority="3256" operator="between">
      <formula>0.76</formula>
      <formula>0.95</formula>
    </cfRule>
    <cfRule type="cellIs" dxfId="5203" priority="3257" operator="between">
      <formula>0.51</formula>
      <formula>0.75</formula>
    </cfRule>
    <cfRule type="cellIs" dxfId="5202" priority="3258" operator="greaterThan">
      <formula>1</formula>
    </cfRule>
    <cfRule type="cellIs" dxfId="5201" priority="3259" operator="between">
      <formula>0.95</formula>
      <formula>1</formula>
    </cfRule>
    <cfRule type="cellIs" dxfId="5200" priority="3260" stopIfTrue="1" operator="between">
      <formula>0</formula>
      <formula>0.5</formula>
    </cfRule>
  </conditionalFormatting>
  <conditionalFormatting sqref="K63">
    <cfRule type="cellIs" dxfId="5199" priority="3251" operator="between">
      <formula>0.191</formula>
      <formula>0.24</formula>
    </cfRule>
    <cfRule type="cellIs" dxfId="5198" priority="3252" operator="between">
      <formula>0.1251</formula>
      <formula>0.19</formula>
    </cfRule>
    <cfRule type="cellIs" dxfId="5197" priority="3253" operator="greaterThan">
      <formula>0.2601</formula>
    </cfRule>
    <cfRule type="cellIs" dxfId="5196" priority="3254" operator="between">
      <formula>0.2401</formula>
      <formula>0.26</formula>
    </cfRule>
    <cfRule type="cellIs" dxfId="5195" priority="3255" stopIfTrue="1" operator="between">
      <formula>0</formula>
      <formula>0.125</formula>
    </cfRule>
  </conditionalFormatting>
  <conditionalFormatting sqref="P63">
    <cfRule type="cellIs" dxfId="5194" priority="3246" operator="between">
      <formula>0.76</formula>
      <formula>0.95</formula>
    </cfRule>
    <cfRule type="cellIs" dxfId="5193" priority="3247" operator="between">
      <formula>0.51</formula>
      <formula>0.75</formula>
    </cfRule>
    <cfRule type="cellIs" dxfId="5192" priority="3248" operator="greaterThan">
      <formula>1</formula>
    </cfRule>
    <cfRule type="cellIs" dxfId="5191" priority="3249" operator="between">
      <formula>0.95</formula>
      <formula>1</formula>
    </cfRule>
    <cfRule type="cellIs" dxfId="5190" priority="3250" stopIfTrue="1" operator="between">
      <formula>0</formula>
      <formula>0.5</formula>
    </cfRule>
  </conditionalFormatting>
  <conditionalFormatting sqref="W63">
    <cfRule type="cellIs" dxfId="5189" priority="3233" operator="between">
      <formula>0.76</formula>
      <formula>0.95</formula>
    </cfRule>
    <cfRule type="cellIs" dxfId="5188" priority="3234" operator="between">
      <formula>0.51</formula>
      <formula>0.75</formula>
    </cfRule>
    <cfRule type="cellIs" dxfId="5187" priority="3235" operator="greaterThan">
      <formula>1</formula>
    </cfRule>
    <cfRule type="cellIs" dxfId="5186" priority="3236" operator="between">
      <formula>0.95</formula>
      <formula>1</formula>
    </cfRule>
    <cfRule type="cellIs" dxfId="5185" priority="3237" stopIfTrue="1" operator="between">
      <formula>0</formula>
      <formula>0.5</formula>
    </cfRule>
  </conditionalFormatting>
  <conditionalFormatting sqref="Y63">
    <cfRule type="cellIs" dxfId="5184" priority="3228" operator="between">
      <formula>0.76</formula>
      <formula>0.95</formula>
    </cfRule>
    <cfRule type="cellIs" dxfId="5183" priority="3229" operator="between">
      <formula>0.51</formula>
      <formula>0.75</formula>
    </cfRule>
    <cfRule type="cellIs" dxfId="5182" priority="3230" operator="greaterThan">
      <formula>1</formula>
    </cfRule>
    <cfRule type="cellIs" dxfId="5181" priority="3231" operator="between">
      <formula>0.95</formula>
      <formula>1</formula>
    </cfRule>
    <cfRule type="cellIs" dxfId="5180" priority="3232" stopIfTrue="1" operator="between">
      <formula>0</formula>
      <formula>0.5</formula>
    </cfRule>
  </conditionalFormatting>
  <conditionalFormatting sqref="AD63">
    <cfRule type="cellIs" dxfId="5179" priority="3220" operator="between">
      <formula>0.76</formula>
      <formula>0.95</formula>
    </cfRule>
    <cfRule type="cellIs" dxfId="5178" priority="3221" operator="between">
      <formula>0.51</formula>
      <formula>0.75</formula>
    </cfRule>
    <cfRule type="cellIs" dxfId="5177" priority="3222" operator="greaterThan">
      <formula>1</formula>
    </cfRule>
    <cfRule type="cellIs" dxfId="5176" priority="3223" operator="between">
      <formula>0.95</formula>
      <formula>1</formula>
    </cfRule>
    <cfRule type="cellIs" dxfId="5175" priority="3224" stopIfTrue="1" operator="between">
      <formula>0</formula>
      <formula>0.5</formula>
    </cfRule>
  </conditionalFormatting>
  <conditionalFormatting sqref="AF63">
    <cfRule type="cellIs" dxfId="5174" priority="3215" operator="between">
      <formula>0.76</formula>
      <formula>0.95</formula>
    </cfRule>
    <cfRule type="cellIs" dxfId="5173" priority="3216" operator="between">
      <formula>0.51</formula>
      <formula>0.75</formula>
    </cfRule>
    <cfRule type="cellIs" dxfId="5172" priority="3217" operator="greaterThan">
      <formula>1</formula>
    </cfRule>
    <cfRule type="cellIs" dxfId="5171" priority="3218" operator="between">
      <formula>0.95</formula>
      <formula>1</formula>
    </cfRule>
    <cfRule type="cellIs" dxfId="5170" priority="3219" stopIfTrue="1" operator="between">
      <formula>0</formula>
      <formula>0.5</formula>
    </cfRule>
  </conditionalFormatting>
  <conditionalFormatting sqref="P214">
    <cfRule type="cellIs" dxfId="5169" priority="3207" operator="between">
      <formula>0.76</formula>
      <formula>0.95</formula>
    </cfRule>
    <cfRule type="cellIs" dxfId="5168" priority="3208" operator="between">
      <formula>0.51</formula>
      <formula>0.75</formula>
    </cfRule>
    <cfRule type="cellIs" dxfId="5167" priority="3209" operator="greaterThan">
      <formula>1</formula>
    </cfRule>
    <cfRule type="cellIs" dxfId="5166" priority="3210" operator="between">
      <formula>0.95</formula>
      <formula>1</formula>
    </cfRule>
    <cfRule type="cellIs" dxfId="5165" priority="3211" stopIfTrue="1" operator="between">
      <formula>0</formula>
      <formula>0.5</formula>
    </cfRule>
  </conditionalFormatting>
  <conditionalFormatting sqref="W214">
    <cfRule type="cellIs" dxfId="5164" priority="3194" operator="between">
      <formula>0.76</formula>
      <formula>0.95</formula>
    </cfRule>
    <cfRule type="cellIs" dxfId="5163" priority="3195" operator="between">
      <formula>0.51</formula>
      <formula>0.75</formula>
    </cfRule>
    <cfRule type="cellIs" dxfId="5162" priority="3196" operator="greaterThan">
      <formula>1</formula>
    </cfRule>
    <cfRule type="cellIs" dxfId="5161" priority="3197" operator="between">
      <formula>0.95</formula>
      <formula>1</formula>
    </cfRule>
    <cfRule type="cellIs" dxfId="5160" priority="3198" stopIfTrue="1" operator="between">
      <formula>0</formula>
      <formula>0.5</formula>
    </cfRule>
  </conditionalFormatting>
  <conditionalFormatting sqref="Y214">
    <cfRule type="cellIs" dxfId="5159" priority="3189" operator="between">
      <formula>0.76</formula>
      <formula>0.95</formula>
    </cfRule>
    <cfRule type="cellIs" dxfId="5158" priority="3190" operator="between">
      <formula>0.51</formula>
      <formula>0.75</formula>
    </cfRule>
    <cfRule type="cellIs" dxfId="5157" priority="3191" operator="greaterThan">
      <formula>1</formula>
    </cfRule>
    <cfRule type="cellIs" dxfId="5156" priority="3192" operator="between">
      <formula>0.95</formula>
      <formula>1</formula>
    </cfRule>
    <cfRule type="cellIs" dxfId="5155" priority="3193" stopIfTrue="1" operator="between">
      <formula>0</formula>
      <formula>0.5</formula>
    </cfRule>
  </conditionalFormatting>
  <conditionalFormatting sqref="AD214">
    <cfRule type="cellIs" dxfId="5154" priority="3181" operator="between">
      <formula>0.76</formula>
      <formula>0.95</formula>
    </cfRule>
    <cfRule type="cellIs" dxfId="5153" priority="3182" operator="between">
      <formula>0.51</formula>
      <formula>0.75</formula>
    </cfRule>
    <cfRule type="cellIs" dxfId="5152" priority="3183" operator="greaterThan">
      <formula>1</formula>
    </cfRule>
    <cfRule type="cellIs" dxfId="5151" priority="3184" operator="between">
      <formula>0.95</formula>
      <formula>1</formula>
    </cfRule>
    <cfRule type="cellIs" dxfId="5150" priority="3185" stopIfTrue="1" operator="between">
      <formula>0</formula>
      <formula>0.5</formula>
    </cfRule>
  </conditionalFormatting>
  <conditionalFormatting sqref="AF214">
    <cfRule type="cellIs" dxfId="5149" priority="3176" operator="between">
      <formula>0.76</formula>
      <formula>0.95</formula>
    </cfRule>
    <cfRule type="cellIs" dxfId="5148" priority="3177" operator="between">
      <formula>0.51</formula>
      <formula>0.75</formula>
    </cfRule>
    <cfRule type="cellIs" dxfId="5147" priority="3178" operator="greaterThan">
      <formula>1</formula>
    </cfRule>
    <cfRule type="cellIs" dxfId="5146" priority="3179" operator="between">
      <formula>0.95</formula>
      <formula>1</formula>
    </cfRule>
    <cfRule type="cellIs" dxfId="5145" priority="3180" stopIfTrue="1" operator="between">
      <formula>0</formula>
      <formula>0.5</formula>
    </cfRule>
  </conditionalFormatting>
  <conditionalFormatting sqref="I73">
    <cfRule type="cellIs" dxfId="5144" priority="3144" operator="between">
      <formula>0.76</formula>
      <formula>0.95</formula>
    </cfRule>
    <cfRule type="cellIs" dxfId="5143" priority="3145" operator="between">
      <formula>0.51</formula>
      <formula>0.75</formula>
    </cfRule>
    <cfRule type="cellIs" dxfId="5142" priority="3146" operator="greaterThan">
      <formula>1</formula>
    </cfRule>
    <cfRule type="cellIs" dxfId="5141" priority="3147" operator="between">
      <formula>0.95</formula>
      <formula>1</formula>
    </cfRule>
    <cfRule type="cellIs" dxfId="5140" priority="3148" stopIfTrue="1" operator="between">
      <formula>0</formula>
      <formula>0.5</formula>
    </cfRule>
  </conditionalFormatting>
  <conditionalFormatting sqref="K73">
    <cfRule type="cellIs" dxfId="5139" priority="3139" operator="between">
      <formula>0.191</formula>
      <formula>0.24</formula>
    </cfRule>
    <cfRule type="cellIs" dxfId="5138" priority="3140" operator="between">
      <formula>0.1251</formula>
      <formula>0.19</formula>
    </cfRule>
    <cfRule type="cellIs" dxfId="5137" priority="3141" operator="greaterThan">
      <formula>0.2601</formula>
    </cfRule>
    <cfRule type="cellIs" dxfId="5136" priority="3142" operator="between">
      <formula>0.2401</formula>
      <formula>0.26</formula>
    </cfRule>
    <cfRule type="cellIs" dxfId="5135" priority="3143" stopIfTrue="1" operator="between">
      <formula>0</formula>
      <formula>0.125</formula>
    </cfRule>
  </conditionalFormatting>
  <conditionalFormatting sqref="I74">
    <cfRule type="cellIs" dxfId="5134" priority="3131" operator="between">
      <formula>0.76</formula>
      <formula>0.95</formula>
    </cfRule>
    <cfRule type="cellIs" dxfId="5133" priority="3132" operator="between">
      <formula>0.51</formula>
      <formula>0.75</formula>
    </cfRule>
    <cfRule type="cellIs" dxfId="5132" priority="3133" operator="greaterThan">
      <formula>1</formula>
    </cfRule>
    <cfRule type="cellIs" dxfId="5131" priority="3134" operator="between">
      <formula>0.95</formula>
      <formula>1</formula>
    </cfRule>
    <cfRule type="cellIs" dxfId="5130" priority="3135" stopIfTrue="1" operator="between">
      <formula>0</formula>
      <formula>0.5</formula>
    </cfRule>
  </conditionalFormatting>
  <conditionalFormatting sqref="K74">
    <cfRule type="cellIs" dxfId="5129" priority="3126" operator="between">
      <formula>0.191</formula>
      <formula>0.24</formula>
    </cfRule>
    <cfRule type="cellIs" dxfId="5128" priority="3127" operator="between">
      <formula>0.1251</formula>
      <formula>0.19</formula>
    </cfRule>
    <cfRule type="cellIs" dxfId="5127" priority="3128" operator="greaterThan">
      <formula>0.2601</formula>
    </cfRule>
    <cfRule type="cellIs" dxfId="5126" priority="3129" operator="between">
      <formula>0.2401</formula>
      <formula>0.26</formula>
    </cfRule>
    <cfRule type="cellIs" dxfId="5125" priority="3130" stopIfTrue="1" operator="between">
      <formula>0</formula>
      <formula>0.125</formula>
    </cfRule>
  </conditionalFormatting>
  <conditionalFormatting sqref="P73">
    <cfRule type="cellIs" dxfId="5124" priority="3121" operator="between">
      <formula>0.76</formula>
      <formula>0.95</formula>
    </cfRule>
    <cfRule type="cellIs" dxfId="5123" priority="3122" operator="between">
      <formula>0.51</formula>
      <formula>0.75</formula>
    </cfRule>
    <cfRule type="cellIs" dxfId="5122" priority="3123" operator="greaterThan">
      <formula>1</formula>
    </cfRule>
    <cfRule type="cellIs" dxfId="5121" priority="3124" operator="between">
      <formula>0.95</formula>
      <formula>1</formula>
    </cfRule>
    <cfRule type="cellIs" dxfId="5120" priority="3125" stopIfTrue="1" operator="between">
      <formula>0</formula>
      <formula>0.5</formula>
    </cfRule>
  </conditionalFormatting>
  <conditionalFormatting sqref="W73">
    <cfRule type="cellIs" dxfId="5119" priority="3108" operator="between">
      <formula>0.76</formula>
      <formula>0.95</formula>
    </cfRule>
    <cfRule type="cellIs" dxfId="5118" priority="3109" operator="between">
      <formula>0.51</formula>
      <formula>0.75</formula>
    </cfRule>
    <cfRule type="cellIs" dxfId="5117" priority="3110" operator="greaterThan">
      <formula>1</formula>
    </cfRule>
    <cfRule type="cellIs" dxfId="5116" priority="3111" operator="between">
      <formula>0.95</formula>
      <formula>1</formula>
    </cfRule>
    <cfRule type="cellIs" dxfId="5115" priority="3112" stopIfTrue="1" operator="between">
      <formula>0</formula>
      <formula>0.5</formula>
    </cfRule>
  </conditionalFormatting>
  <conditionalFormatting sqref="Y73">
    <cfRule type="cellIs" dxfId="5114" priority="3103" operator="between">
      <formula>0.76</formula>
      <formula>0.95</formula>
    </cfRule>
    <cfRule type="cellIs" dxfId="5113" priority="3104" operator="between">
      <formula>0.51</formula>
      <formula>0.75</formula>
    </cfRule>
    <cfRule type="cellIs" dxfId="5112" priority="3105" operator="greaterThan">
      <formula>1</formula>
    </cfRule>
    <cfRule type="cellIs" dxfId="5111" priority="3106" operator="between">
      <formula>0.95</formula>
      <formula>1</formula>
    </cfRule>
    <cfRule type="cellIs" dxfId="5110" priority="3107" stopIfTrue="1" operator="between">
      <formula>0</formula>
      <formula>0.5</formula>
    </cfRule>
  </conditionalFormatting>
  <conditionalFormatting sqref="AD73">
    <cfRule type="cellIs" dxfId="5109" priority="3095" operator="between">
      <formula>0.76</formula>
      <formula>0.95</formula>
    </cfRule>
    <cfRule type="cellIs" dxfId="5108" priority="3096" operator="between">
      <formula>0.51</formula>
      <formula>0.75</formula>
    </cfRule>
    <cfRule type="cellIs" dxfId="5107" priority="3097" operator="greaterThan">
      <formula>1</formula>
    </cfRule>
    <cfRule type="cellIs" dxfId="5106" priority="3098" operator="between">
      <formula>0.95</formula>
      <formula>1</formula>
    </cfRule>
    <cfRule type="cellIs" dxfId="5105" priority="3099" stopIfTrue="1" operator="between">
      <formula>0</formula>
      <formula>0.5</formula>
    </cfRule>
  </conditionalFormatting>
  <conditionalFormatting sqref="AF73">
    <cfRule type="cellIs" dxfId="5104" priority="3090" operator="between">
      <formula>0.76</formula>
      <formula>0.95</formula>
    </cfRule>
    <cfRule type="cellIs" dxfId="5103" priority="3091" operator="between">
      <formula>0.51</formula>
      <formula>0.75</formula>
    </cfRule>
    <cfRule type="cellIs" dxfId="5102" priority="3092" operator="greaterThan">
      <formula>1</formula>
    </cfRule>
    <cfRule type="cellIs" dxfId="5101" priority="3093" operator="between">
      <formula>0.95</formula>
      <formula>1</formula>
    </cfRule>
    <cfRule type="cellIs" dxfId="5100" priority="3094" stopIfTrue="1" operator="between">
      <formula>0</formula>
      <formula>0.5</formula>
    </cfRule>
  </conditionalFormatting>
  <conditionalFormatting sqref="P74">
    <cfRule type="cellIs" dxfId="5099" priority="3082" operator="between">
      <formula>0.76</formula>
      <formula>0.95</formula>
    </cfRule>
    <cfRule type="cellIs" dxfId="5098" priority="3083" operator="between">
      <formula>0.51</formula>
      <formula>0.75</formula>
    </cfRule>
    <cfRule type="cellIs" dxfId="5097" priority="3084" operator="greaterThan">
      <formula>1</formula>
    </cfRule>
    <cfRule type="cellIs" dxfId="5096" priority="3085" operator="between">
      <formula>0.95</formula>
      <formula>1</formula>
    </cfRule>
    <cfRule type="cellIs" dxfId="5095" priority="3086" stopIfTrue="1" operator="between">
      <formula>0</formula>
      <formula>0.5</formula>
    </cfRule>
  </conditionalFormatting>
  <conditionalFormatting sqref="W74">
    <cfRule type="cellIs" dxfId="5094" priority="3069" operator="between">
      <formula>0.76</formula>
      <formula>0.95</formula>
    </cfRule>
    <cfRule type="cellIs" dxfId="5093" priority="3070" operator="between">
      <formula>0.51</formula>
      <formula>0.75</formula>
    </cfRule>
    <cfRule type="cellIs" dxfId="5092" priority="3071" operator="greaterThan">
      <formula>1</formula>
    </cfRule>
    <cfRule type="cellIs" dxfId="5091" priority="3072" operator="between">
      <formula>0.95</formula>
      <formula>1</formula>
    </cfRule>
    <cfRule type="cellIs" dxfId="5090" priority="3073" stopIfTrue="1" operator="between">
      <formula>0</formula>
      <formula>0.5</formula>
    </cfRule>
  </conditionalFormatting>
  <conditionalFormatting sqref="Y74">
    <cfRule type="cellIs" dxfId="5089" priority="3064" operator="between">
      <formula>0.76</formula>
      <formula>0.95</formula>
    </cfRule>
    <cfRule type="cellIs" dxfId="5088" priority="3065" operator="between">
      <formula>0.51</formula>
      <formula>0.75</formula>
    </cfRule>
    <cfRule type="cellIs" dxfId="5087" priority="3066" operator="greaterThan">
      <formula>1</formula>
    </cfRule>
    <cfRule type="cellIs" dxfId="5086" priority="3067" operator="between">
      <formula>0.95</formula>
      <formula>1</formula>
    </cfRule>
    <cfRule type="cellIs" dxfId="5085" priority="3068" stopIfTrue="1" operator="between">
      <formula>0</formula>
      <formula>0.5</formula>
    </cfRule>
  </conditionalFormatting>
  <conditionalFormatting sqref="AD74">
    <cfRule type="cellIs" dxfId="5084" priority="3056" operator="between">
      <formula>0.76</formula>
      <formula>0.95</formula>
    </cfRule>
    <cfRule type="cellIs" dxfId="5083" priority="3057" operator="between">
      <formula>0.51</formula>
      <formula>0.75</formula>
    </cfRule>
    <cfRule type="cellIs" dxfId="5082" priority="3058" operator="greaterThan">
      <formula>1</formula>
    </cfRule>
    <cfRule type="cellIs" dxfId="5081" priority="3059" operator="between">
      <formula>0.95</formula>
      <formula>1</formula>
    </cfRule>
    <cfRule type="cellIs" dxfId="5080" priority="3060" stopIfTrue="1" operator="between">
      <formula>0</formula>
      <formula>0.5</formula>
    </cfRule>
  </conditionalFormatting>
  <conditionalFormatting sqref="AF74">
    <cfRule type="cellIs" dxfId="5079" priority="3051" operator="between">
      <formula>0.76</formula>
      <formula>0.95</formula>
    </cfRule>
    <cfRule type="cellIs" dxfId="5078" priority="3052" operator="between">
      <formula>0.51</formula>
      <formula>0.75</formula>
    </cfRule>
    <cfRule type="cellIs" dxfId="5077" priority="3053" operator="greaterThan">
      <formula>1</formula>
    </cfRule>
    <cfRule type="cellIs" dxfId="5076" priority="3054" operator="between">
      <formula>0.95</formula>
      <formula>1</formula>
    </cfRule>
    <cfRule type="cellIs" dxfId="5075" priority="3055" stopIfTrue="1" operator="between">
      <formula>0</formula>
      <formula>0.5</formula>
    </cfRule>
  </conditionalFormatting>
  <conditionalFormatting sqref="I118">
    <cfRule type="cellIs" dxfId="5074" priority="3040" operator="between">
      <formula>0.76</formula>
      <formula>0.95</formula>
    </cfRule>
    <cfRule type="cellIs" dxfId="5073" priority="3041" operator="between">
      <formula>0.51</formula>
      <formula>0.75</formula>
    </cfRule>
    <cfRule type="cellIs" dxfId="5072" priority="3042" operator="greaterThan">
      <formula>1</formula>
    </cfRule>
    <cfRule type="cellIs" dxfId="5071" priority="3043" operator="between">
      <formula>0.95</formula>
      <formula>1</formula>
    </cfRule>
    <cfRule type="cellIs" dxfId="5070" priority="3044" stopIfTrue="1" operator="between">
      <formula>0</formula>
      <formula>0.5</formula>
    </cfRule>
  </conditionalFormatting>
  <conditionalFormatting sqref="K118">
    <cfRule type="cellIs" dxfId="5069" priority="3035" operator="between">
      <formula>0.191</formula>
      <formula>0.24</formula>
    </cfRule>
    <cfRule type="cellIs" dxfId="5068" priority="3036" operator="between">
      <formula>0.1251</formula>
      <formula>0.19</formula>
    </cfRule>
    <cfRule type="cellIs" dxfId="5067" priority="3037" operator="greaterThan">
      <formula>0.2601</formula>
    </cfRule>
    <cfRule type="cellIs" dxfId="5066" priority="3038" operator="between">
      <formula>0.2401</formula>
      <formula>0.26</formula>
    </cfRule>
    <cfRule type="cellIs" dxfId="5065" priority="3039" stopIfTrue="1" operator="between">
      <formula>0</formula>
      <formula>0.125</formula>
    </cfRule>
  </conditionalFormatting>
  <conditionalFormatting sqref="I119">
    <cfRule type="cellIs" dxfId="5064" priority="3027" operator="between">
      <formula>0.76</formula>
      <formula>0.95</formula>
    </cfRule>
    <cfRule type="cellIs" dxfId="5063" priority="3028" operator="between">
      <formula>0.51</formula>
      <formula>0.75</formula>
    </cfRule>
    <cfRule type="cellIs" dxfId="5062" priority="3029" operator="greaterThan">
      <formula>1</formula>
    </cfRule>
    <cfRule type="cellIs" dxfId="5061" priority="3030" operator="between">
      <formula>0.95</formula>
      <formula>1</formula>
    </cfRule>
    <cfRule type="cellIs" dxfId="5060" priority="3031" stopIfTrue="1" operator="between">
      <formula>0</formula>
      <formula>0.5</formula>
    </cfRule>
  </conditionalFormatting>
  <conditionalFormatting sqref="K119">
    <cfRule type="cellIs" dxfId="5059" priority="3022" operator="between">
      <formula>0.191</formula>
      <formula>0.24</formula>
    </cfRule>
    <cfRule type="cellIs" dxfId="5058" priority="3023" operator="between">
      <formula>0.1251</formula>
      <formula>0.19</formula>
    </cfRule>
    <cfRule type="cellIs" dxfId="5057" priority="3024" operator="greaterThan">
      <formula>0.2601</formula>
    </cfRule>
    <cfRule type="cellIs" dxfId="5056" priority="3025" operator="between">
      <formula>0.2401</formula>
      <formula>0.26</formula>
    </cfRule>
    <cfRule type="cellIs" dxfId="5055" priority="3026" stopIfTrue="1" operator="between">
      <formula>0</formula>
      <formula>0.125</formula>
    </cfRule>
  </conditionalFormatting>
  <conditionalFormatting sqref="P118">
    <cfRule type="cellIs" dxfId="5054" priority="3017" operator="between">
      <formula>0.76</formula>
      <formula>0.95</formula>
    </cfRule>
    <cfRule type="cellIs" dxfId="5053" priority="3018" operator="between">
      <formula>0.51</formula>
      <formula>0.75</formula>
    </cfRule>
    <cfRule type="cellIs" dxfId="5052" priority="3019" operator="greaterThan">
      <formula>1</formula>
    </cfRule>
    <cfRule type="cellIs" dxfId="5051" priority="3020" operator="between">
      <formula>0.95</formula>
      <formula>1</formula>
    </cfRule>
    <cfRule type="cellIs" dxfId="5050" priority="3021" stopIfTrue="1" operator="between">
      <formula>0</formula>
      <formula>0.5</formula>
    </cfRule>
  </conditionalFormatting>
  <conditionalFormatting sqref="P119">
    <cfRule type="cellIs" dxfId="5049" priority="3004" operator="between">
      <formula>0.76</formula>
      <formula>0.95</formula>
    </cfRule>
    <cfRule type="cellIs" dxfId="5048" priority="3005" operator="between">
      <formula>0.51</formula>
      <formula>0.75</formula>
    </cfRule>
    <cfRule type="cellIs" dxfId="5047" priority="3006" operator="greaterThan">
      <formula>1</formula>
    </cfRule>
    <cfRule type="cellIs" dxfId="5046" priority="3007" operator="between">
      <formula>0.95</formula>
      <formula>1</formula>
    </cfRule>
    <cfRule type="cellIs" dxfId="5045" priority="3008" stopIfTrue="1" operator="between">
      <formula>0</formula>
      <formula>0.5</formula>
    </cfRule>
  </conditionalFormatting>
  <conditionalFormatting sqref="W118">
    <cfRule type="cellIs" dxfId="5044" priority="2991" operator="between">
      <formula>0.76</formula>
      <formula>0.95</formula>
    </cfRule>
    <cfRule type="cellIs" dxfId="5043" priority="2992" operator="between">
      <formula>0.51</formula>
      <formula>0.75</formula>
    </cfRule>
    <cfRule type="cellIs" dxfId="5042" priority="2993" operator="greaterThan">
      <formula>1</formula>
    </cfRule>
    <cfRule type="cellIs" dxfId="5041" priority="2994" operator="between">
      <formula>0.95</formula>
      <formula>1</formula>
    </cfRule>
    <cfRule type="cellIs" dxfId="5040" priority="2995" stopIfTrue="1" operator="between">
      <formula>0</formula>
      <formula>0.5</formula>
    </cfRule>
  </conditionalFormatting>
  <conditionalFormatting sqref="Y118">
    <cfRule type="cellIs" dxfId="5039" priority="2986" operator="between">
      <formula>0.76</formula>
      <formula>0.95</formula>
    </cfRule>
    <cfRule type="cellIs" dxfId="5038" priority="2987" operator="between">
      <formula>0.51</formula>
      <formula>0.75</formula>
    </cfRule>
    <cfRule type="cellIs" dxfId="5037" priority="2988" operator="greaterThan">
      <formula>1</formula>
    </cfRule>
    <cfRule type="cellIs" dxfId="5036" priority="2989" operator="between">
      <formula>0.95</formula>
      <formula>1</formula>
    </cfRule>
    <cfRule type="cellIs" dxfId="5035" priority="2990" stopIfTrue="1" operator="between">
      <formula>0</formula>
      <formula>0.5</formula>
    </cfRule>
  </conditionalFormatting>
  <conditionalFormatting sqref="W119">
    <cfRule type="cellIs" dxfId="5034" priority="2978" operator="between">
      <formula>0.76</formula>
      <formula>0.95</formula>
    </cfRule>
    <cfRule type="cellIs" dxfId="5033" priority="2979" operator="between">
      <formula>0.51</formula>
      <formula>0.75</formula>
    </cfRule>
    <cfRule type="cellIs" dxfId="5032" priority="2980" operator="greaterThan">
      <formula>1</formula>
    </cfRule>
    <cfRule type="cellIs" dxfId="5031" priority="2981" operator="between">
      <formula>0.95</formula>
      <formula>1</formula>
    </cfRule>
    <cfRule type="cellIs" dxfId="5030" priority="2982" stopIfTrue="1" operator="between">
      <formula>0</formula>
      <formula>0.5</formula>
    </cfRule>
  </conditionalFormatting>
  <conditionalFormatting sqref="Y119">
    <cfRule type="cellIs" dxfId="5029" priority="2973" operator="between">
      <formula>0.76</formula>
      <formula>0.95</formula>
    </cfRule>
    <cfRule type="cellIs" dxfId="5028" priority="2974" operator="between">
      <formula>0.51</formula>
      <formula>0.75</formula>
    </cfRule>
    <cfRule type="cellIs" dxfId="5027" priority="2975" operator="greaterThan">
      <formula>1</formula>
    </cfRule>
    <cfRule type="cellIs" dxfId="5026" priority="2976" operator="between">
      <formula>0.95</formula>
      <formula>1</formula>
    </cfRule>
    <cfRule type="cellIs" dxfId="5025" priority="2977" stopIfTrue="1" operator="between">
      <formula>0</formula>
      <formula>0.5</formula>
    </cfRule>
  </conditionalFormatting>
  <conditionalFormatting sqref="AD118">
    <cfRule type="cellIs" dxfId="5024" priority="2965" operator="between">
      <formula>0.76</formula>
      <formula>0.95</formula>
    </cfRule>
    <cfRule type="cellIs" dxfId="5023" priority="2966" operator="between">
      <formula>0.51</formula>
      <formula>0.75</formula>
    </cfRule>
    <cfRule type="cellIs" dxfId="5022" priority="2967" operator="greaterThan">
      <formula>1</formula>
    </cfRule>
    <cfRule type="cellIs" dxfId="5021" priority="2968" operator="between">
      <formula>0.95</formula>
      <formula>1</formula>
    </cfRule>
    <cfRule type="cellIs" dxfId="5020" priority="2969" stopIfTrue="1" operator="between">
      <formula>0</formula>
      <formula>0.5</formula>
    </cfRule>
  </conditionalFormatting>
  <conditionalFormatting sqref="AF118">
    <cfRule type="cellIs" dxfId="5019" priority="2960" operator="between">
      <formula>0.76</formula>
      <formula>0.95</formula>
    </cfRule>
    <cfRule type="cellIs" dxfId="5018" priority="2961" operator="between">
      <formula>0.51</formula>
      <formula>0.75</formula>
    </cfRule>
    <cfRule type="cellIs" dxfId="5017" priority="2962" operator="greaterThan">
      <formula>1</formula>
    </cfRule>
    <cfRule type="cellIs" dxfId="5016" priority="2963" operator="between">
      <formula>0.95</formula>
      <formula>1</formula>
    </cfRule>
    <cfRule type="cellIs" dxfId="5015" priority="2964" stopIfTrue="1" operator="between">
      <formula>0</formula>
      <formula>0.5</formula>
    </cfRule>
  </conditionalFormatting>
  <conditionalFormatting sqref="AD119">
    <cfRule type="cellIs" dxfId="5014" priority="2952" operator="between">
      <formula>0.76</formula>
      <formula>0.95</formula>
    </cfRule>
    <cfRule type="cellIs" dxfId="5013" priority="2953" operator="between">
      <formula>0.51</formula>
      <formula>0.75</formula>
    </cfRule>
    <cfRule type="cellIs" dxfId="5012" priority="2954" operator="greaterThan">
      <formula>1</formula>
    </cfRule>
    <cfRule type="cellIs" dxfId="5011" priority="2955" operator="between">
      <formula>0.95</formula>
      <formula>1</formula>
    </cfRule>
    <cfRule type="cellIs" dxfId="5010" priority="2956" stopIfTrue="1" operator="between">
      <formula>0</formula>
      <formula>0.5</formula>
    </cfRule>
  </conditionalFormatting>
  <conditionalFormatting sqref="AF119">
    <cfRule type="cellIs" dxfId="5009" priority="2947" operator="between">
      <formula>0.76</formula>
      <formula>0.95</formula>
    </cfRule>
    <cfRule type="cellIs" dxfId="5008" priority="2948" operator="between">
      <formula>0.51</formula>
      <formula>0.75</formula>
    </cfRule>
    <cfRule type="cellIs" dxfId="5007" priority="2949" operator="greaterThan">
      <formula>1</formula>
    </cfRule>
    <cfRule type="cellIs" dxfId="5006" priority="2950" operator="between">
      <formula>0.95</formula>
      <formula>1</formula>
    </cfRule>
    <cfRule type="cellIs" dxfId="5005" priority="2951" stopIfTrue="1" operator="between">
      <formula>0</formula>
      <formula>0.5</formula>
    </cfRule>
  </conditionalFormatting>
  <conditionalFormatting sqref="I120">
    <cfRule type="cellIs" dxfId="5004" priority="2936" operator="between">
      <formula>0.76</formula>
      <formula>0.95</formula>
    </cfRule>
    <cfRule type="cellIs" dxfId="5003" priority="2937" operator="between">
      <formula>0.51</formula>
      <formula>0.75</formula>
    </cfRule>
    <cfRule type="cellIs" dxfId="5002" priority="2938" operator="greaterThan">
      <formula>1</formula>
    </cfRule>
    <cfRule type="cellIs" dxfId="5001" priority="2939" operator="between">
      <formula>0.95</formula>
      <formula>1</formula>
    </cfRule>
    <cfRule type="cellIs" dxfId="5000" priority="2940" stopIfTrue="1" operator="between">
      <formula>0</formula>
      <formula>0.5</formula>
    </cfRule>
  </conditionalFormatting>
  <conditionalFormatting sqref="K120">
    <cfRule type="cellIs" dxfId="4999" priority="2931" operator="between">
      <formula>0.191</formula>
      <formula>0.24</formula>
    </cfRule>
    <cfRule type="cellIs" dxfId="4998" priority="2932" operator="between">
      <formula>0.1251</formula>
      <formula>0.19</formula>
    </cfRule>
    <cfRule type="cellIs" dxfId="4997" priority="2933" operator="greaterThan">
      <formula>0.2601</formula>
    </cfRule>
    <cfRule type="cellIs" dxfId="4996" priority="2934" operator="between">
      <formula>0.2401</formula>
      <formula>0.26</formula>
    </cfRule>
    <cfRule type="cellIs" dxfId="4995" priority="2935" stopIfTrue="1" operator="between">
      <formula>0</formula>
      <formula>0.125</formula>
    </cfRule>
  </conditionalFormatting>
  <conditionalFormatting sqref="P120">
    <cfRule type="cellIs" dxfId="4994" priority="2923" operator="between">
      <formula>0.76</formula>
      <formula>0.95</formula>
    </cfRule>
    <cfRule type="cellIs" dxfId="4993" priority="2924" operator="between">
      <formula>0.51</formula>
      <formula>0.75</formula>
    </cfRule>
    <cfRule type="cellIs" dxfId="4992" priority="2925" operator="greaterThan">
      <formula>1</formula>
    </cfRule>
    <cfRule type="cellIs" dxfId="4991" priority="2926" operator="between">
      <formula>0.95</formula>
      <formula>1</formula>
    </cfRule>
    <cfRule type="cellIs" dxfId="4990" priority="2927" stopIfTrue="1" operator="between">
      <formula>0</formula>
      <formula>0.5</formula>
    </cfRule>
  </conditionalFormatting>
  <conditionalFormatting sqref="W120">
    <cfRule type="cellIs" dxfId="4989" priority="2910" operator="between">
      <formula>0.76</formula>
      <formula>0.95</formula>
    </cfRule>
    <cfRule type="cellIs" dxfId="4988" priority="2911" operator="between">
      <formula>0.51</formula>
      <formula>0.75</formula>
    </cfRule>
    <cfRule type="cellIs" dxfId="4987" priority="2912" operator="greaterThan">
      <formula>1</formula>
    </cfRule>
    <cfRule type="cellIs" dxfId="4986" priority="2913" operator="between">
      <formula>0.95</formula>
      <formula>1</formula>
    </cfRule>
    <cfRule type="cellIs" dxfId="4985" priority="2914" stopIfTrue="1" operator="between">
      <formula>0</formula>
      <formula>0.5</formula>
    </cfRule>
  </conditionalFormatting>
  <conditionalFormatting sqref="Y120">
    <cfRule type="cellIs" dxfId="4984" priority="2905" operator="between">
      <formula>0.76</formula>
      <formula>0.95</formula>
    </cfRule>
    <cfRule type="cellIs" dxfId="4983" priority="2906" operator="between">
      <formula>0.51</formula>
      <formula>0.75</formula>
    </cfRule>
    <cfRule type="cellIs" dxfId="4982" priority="2907" operator="greaterThan">
      <formula>1</formula>
    </cfRule>
    <cfRule type="cellIs" dxfId="4981" priority="2908" operator="between">
      <formula>0.95</formula>
      <formula>1</formula>
    </cfRule>
    <cfRule type="cellIs" dxfId="4980" priority="2909" stopIfTrue="1" operator="between">
      <formula>0</formula>
      <formula>0.5</formula>
    </cfRule>
  </conditionalFormatting>
  <conditionalFormatting sqref="AD120">
    <cfRule type="cellIs" dxfId="4979" priority="2897" operator="between">
      <formula>0.76</formula>
      <formula>0.95</formula>
    </cfRule>
    <cfRule type="cellIs" dxfId="4978" priority="2898" operator="between">
      <formula>0.51</formula>
      <formula>0.75</formula>
    </cfRule>
    <cfRule type="cellIs" dxfId="4977" priority="2899" operator="greaterThan">
      <formula>1</formula>
    </cfRule>
    <cfRule type="cellIs" dxfId="4976" priority="2900" operator="between">
      <formula>0.95</formula>
      <formula>1</formula>
    </cfRule>
    <cfRule type="cellIs" dxfId="4975" priority="2901" stopIfTrue="1" operator="between">
      <formula>0</formula>
      <formula>0.5</formula>
    </cfRule>
  </conditionalFormatting>
  <conditionalFormatting sqref="AF120">
    <cfRule type="cellIs" dxfId="4974" priority="2892" operator="between">
      <formula>0.76</formula>
      <formula>0.95</formula>
    </cfRule>
    <cfRule type="cellIs" dxfId="4973" priority="2893" operator="between">
      <formula>0.51</formula>
      <formula>0.75</formula>
    </cfRule>
    <cfRule type="cellIs" dxfId="4972" priority="2894" operator="greaterThan">
      <formula>1</formula>
    </cfRule>
    <cfRule type="cellIs" dxfId="4971" priority="2895" operator="between">
      <formula>0.95</formula>
      <formula>1</formula>
    </cfRule>
    <cfRule type="cellIs" dxfId="4970" priority="2896" stopIfTrue="1" operator="between">
      <formula>0</formula>
      <formula>0.5</formula>
    </cfRule>
  </conditionalFormatting>
  <conditionalFormatting sqref="I32">
    <cfRule type="cellIs" dxfId="4969" priority="2887" operator="between">
      <formula>0.76</formula>
      <formula>0.95</formula>
    </cfRule>
    <cfRule type="cellIs" dxfId="4968" priority="2888" operator="between">
      <formula>0.51</formula>
      <formula>0.75</formula>
    </cfRule>
    <cfRule type="cellIs" dxfId="4967" priority="2889" operator="greaterThan">
      <formula>1</formula>
    </cfRule>
    <cfRule type="cellIs" dxfId="4966" priority="2890" operator="between">
      <formula>0.95</formula>
      <formula>1</formula>
    </cfRule>
    <cfRule type="cellIs" dxfId="4965" priority="2891" stopIfTrue="1" operator="between">
      <formula>0</formula>
      <formula>0.5</formula>
    </cfRule>
  </conditionalFormatting>
  <conditionalFormatting sqref="K32">
    <cfRule type="cellIs" dxfId="4964" priority="2879" operator="between">
      <formula>0.191</formula>
      <formula>0.24</formula>
    </cfRule>
    <cfRule type="cellIs" dxfId="4963" priority="2880" operator="between">
      <formula>0.1251</formula>
      <formula>0.19</formula>
    </cfRule>
    <cfRule type="cellIs" dxfId="4962" priority="2881" operator="greaterThan">
      <formula>0.2601</formula>
    </cfRule>
    <cfRule type="cellIs" dxfId="4961" priority="2882" operator="between">
      <formula>0.2401</formula>
      <formula>0.26</formula>
    </cfRule>
    <cfRule type="cellIs" dxfId="4960" priority="2883" stopIfTrue="1" operator="between">
      <formula>0</formula>
      <formula>0.125</formula>
    </cfRule>
  </conditionalFormatting>
  <conditionalFormatting sqref="P32">
    <cfRule type="cellIs" dxfId="4959" priority="2874" operator="between">
      <formula>0.76</formula>
      <formula>0.95</formula>
    </cfRule>
    <cfRule type="cellIs" dxfId="4958" priority="2875" operator="between">
      <formula>0.51</formula>
      <formula>0.75</formula>
    </cfRule>
    <cfRule type="cellIs" dxfId="4957" priority="2876" operator="greaterThan">
      <formula>1</formula>
    </cfRule>
    <cfRule type="cellIs" dxfId="4956" priority="2877" operator="between">
      <formula>0.95</formula>
      <formula>1</formula>
    </cfRule>
    <cfRule type="cellIs" dxfId="4955" priority="2878" stopIfTrue="1" operator="between">
      <formula>0</formula>
      <formula>0.5</formula>
    </cfRule>
  </conditionalFormatting>
  <conditionalFormatting sqref="W32">
    <cfRule type="cellIs" dxfId="4954" priority="2861" operator="between">
      <formula>0.76</formula>
      <formula>0.95</formula>
    </cfRule>
    <cfRule type="cellIs" dxfId="4953" priority="2862" operator="between">
      <formula>0.51</formula>
      <formula>0.75</formula>
    </cfRule>
    <cfRule type="cellIs" dxfId="4952" priority="2863" operator="greaterThan">
      <formula>1</formula>
    </cfRule>
    <cfRule type="cellIs" dxfId="4951" priority="2864" operator="between">
      <formula>0.95</formula>
      <formula>1</formula>
    </cfRule>
    <cfRule type="cellIs" dxfId="4950" priority="2865" stopIfTrue="1" operator="between">
      <formula>0</formula>
      <formula>0.5</formula>
    </cfRule>
  </conditionalFormatting>
  <conditionalFormatting sqref="Y32">
    <cfRule type="cellIs" dxfId="4949" priority="2856" operator="between">
      <formula>0.76</formula>
      <formula>0.95</formula>
    </cfRule>
    <cfRule type="cellIs" dxfId="4948" priority="2857" operator="between">
      <formula>0.51</formula>
      <formula>0.75</formula>
    </cfRule>
    <cfRule type="cellIs" dxfId="4947" priority="2858" operator="greaterThan">
      <formula>1</formula>
    </cfRule>
    <cfRule type="cellIs" dxfId="4946" priority="2859" operator="between">
      <formula>0.95</formula>
      <formula>1</formula>
    </cfRule>
    <cfRule type="cellIs" dxfId="4945" priority="2860" stopIfTrue="1" operator="between">
      <formula>0</formula>
      <formula>0.5</formula>
    </cfRule>
  </conditionalFormatting>
  <conditionalFormatting sqref="AD32">
    <cfRule type="cellIs" dxfId="4944" priority="2848" operator="between">
      <formula>0.76</formula>
      <formula>0.95</formula>
    </cfRule>
    <cfRule type="cellIs" dxfId="4943" priority="2849" operator="between">
      <formula>0.51</formula>
      <formula>0.75</formula>
    </cfRule>
    <cfRule type="cellIs" dxfId="4942" priority="2850" operator="greaterThan">
      <formula>1</formula>
    </cfRule>
    <cfRule type="cellIs" dxfId="4941" priority="2851" operator="between">
      <formula>0.95</formula>
      <formula>1</formula>
    </cfRule>
    <cfRule type="cellIs" dxfId="4940" priority="2852" stopIfTrue="1" operator="between">
      <formula>0</formula>
      <formula>0.5</formula>
    </cfRule>
  </conditionalFormatting>
  <conditionalFormatting sqref="AF32">
    <cfRule type="cellIs" dxfId="4939" priority="2843" operator="between">
      <formula>0.76</formula>
      <formula>0.95</formula>
    </cfRule>
    <cfRule type="cellIs" dxfId="4938" priority="2844" operator="between">
      <formula>0.51</formula>
      <formula>0.75</formula>
    </cfRule>
    <cfRule type="cellIs" dxfId="4937" priority="2845" operator="greaterThan">
      <formula>1</formula>
    </cfRule>
    <cfRule type="cellIs" dxfId="4936" priority="2846" operator="between">
      <formula>0.95</formula>
      <formula>1</formula>
    </cfRule>
    <cfRule type="cellIs" dxfId="4935" priority="2847" stopIfTrue="1" operator="between">
      <formula>0</formula>
      <formula>0.5</formula>
    </cfRule>
  </conditionalFormatting>
  <conditionalFormatting sqref="I33:I34">
    <cfRule type="cellIs" dxfId="4934" priority="2835" operator="between">
      <formula>0.76</formula>
      <formula>0.95</formula>
    </cfRule>
    <cfRule type="cellIs" dxfId="4933" priority="2836" operator="between">
      <formula>0.51</formula>
      <formula>0.75</formula>
    </cfRule>
    <cfRule type="cellIs" dxfId="4932" priority="2837" operator="greaterThan">
      <formula>1</formula>
    </cfRule>
    <cfRule type="cellIs" dxfId="4931" priority="2838" operator="between">
      <formula>0.95</formula>
      <formula>1</formula>
    </cfRule>
    <cfRule type="cellIs" dxfId="4930" priority="2839" stopIfTrue="1" operator="between">
      <formula>0</formula>
      <formula>0.5</formula>
    </cfRule>
  </conditionalFormatting>
  <conditionalFormatting sqref="K33:K34">
    <cfRule type="cellIs" dxfId="4929" priority="2827" operator="between">
      <formula>0.191</formula>
      <formula>0.24</formula>
    </cfRule>
    <cfRule type="cellIs" dxfId="4928" priority="2828" operator="between">
      <formula>0.1251</formula>
      <formula>0.19</formula>
    </cfRule>
    <cfRule type="cellIs" dxfId="4927" priority="2829" operator="greaterThan">
      <formula>0.2601</formula>
    </cfRule>
    <cfRule type="cellIs" dxfId="4926" priority="2830" operator="between">
      <formula>0.2401</formula>
      <formula>0.26</formula>
    </cfRule>
    <cfRule type="cellIs" dxfId="4925" priority="2831" stopIfTrue="1" operator="between">
      <formula>0</formula>
      <formula>0.125</formula>
    </cfRule>
  </conditionalFormatting>
  <conditionalFormatting sqref="P33:P34">
    <cfRule type="cellIs" dxfId="4924" priority="2822" operator="between">
      <formula>0.76</formula>
      <formula>0.95</formula>
    </cfRule>
    <cfRule type="cellIs" dxfId="4923" priority="2823" operator="between">
      <formula>0.51</formula>
      <formula>0.75</formula>
    </cfRule>
    <cfRule type="cellIs" dxfId="4922" priority="2824" operator="greaterThan">
      <formula>1</formula>
    </cfRule>
    <cfRule type="cellIs" dxfId="4921" priority="2825" operator="between">
      <formula>0.95</formula>
      <formula>1</formula>
    </cfRule>
    <cfRule type="cellIs" dxfId="4920" priority="2826" stopIfTrue="1" operator="between">
      <formula>0</formula>
      <formula>0.5</formula>
    </cfRule>
  </conditionalFormatting>
  <conditionalFormatting sqref="W33:W34">
    <cfRule type="cellIs" dxfId="4919" priority="2809" operator="between">
      <formula>0.76</formula>
      <formula>0.95</formula>
    </cfRule>
    <cfRule type="cellIs" dxfId="4918" priority="2810" operator="between">
      <formula>0.51</formula>
      <formula>0.75</formula>
    </cfRule>
    <cfRule type="cellIs" dxfId="4917" priority="2811" operator="greaterThan">
      <formula>1</formula>
    </cfRule>
    <cfRule type="cellIs" dxfId="4916" priority="2812" operator="between">
      <formula>0.95</formula>
      <formula>1</formula>
    </cfRule>
    <cfRule type="cellIs" dxfId="4915" priority="2813" stopIfTrue="1" operator="between">
      <formula>0</formula>
      <formula>0.5</formula>
    </cfRule>
  </conditionalFormatting>
  <conditionalFormatting sqref="Y33:Y34">
    <cfRule type="cellIs" dxfId="4914" priority="2804" operator="between">
      <formula>0.76</formula>
      <formula>0.95</formula>
    </cfRule>
    <cfRule type="cellIs" dxfId="4913" priority="2805" operator="between">
      <formula>0.51</formula>
      <formula>0.75</formula>
    </cfRule>
    <cfRule type="cellIs" dxfId="4912" priority="2806" operator="greaterThan">
      <formula>1</formula>
    </cfRule>
    <cfRule type="cellIs" dxfId="4911" priority="2807" operator="between">
      <formula>0.95</formula>
      <formula>1</formula>
    </cfRule>
    <cfRule type="cellIs" dxfId="4910" priority="2808" stopIfTrue="1" operator="between">
      <formula>0</formula>
      <formula>0.5</formula>
    </cfRule>
  </conditionalFormatting>
  <conditionalFormatting sqref="AD33:AD34">
    <cfRule type="cellIs" dxfId="4909" priority="2796" operator="between">
      <formula>0.76</formula>
      <formula>0.95</formula>
    </cfRule>
    <cfRule type="cellIs" dxfId="4908" priority="2797" operator="between">
      <formula>0.51</formula>
      <formula>0.75</formula>
    </cfRule>
    <cfRule type="cellIs" dxfId="4907" priority="2798" operator="greaterThan">
      <formula>1</formula>
    </cfRule>
    <cfRule type="cellIs" dxfId="4906" priority="2799" operator="between">
      <formula>0.95</formula>
      <formula>1</formula>
    </cfRule>
    <cfRule type="cellIs" dxfId="4905" priority="2800" stopIfTrue="1" operator="between">
      <formula>0</formula>
      <formula>0.5</formula>
    </cfRule>
  </conditionalFormatting>
  <conditionalFormatting sqref="AF33:AF34">
    <cfRule type="cellIs" dxfId="4904" priority="2791" operator="between">
      <formula>0.76</formula>
      <formula>0.95</formula>
    </cfRule>
    <cfRule type="cellIs" dxfId="4903" priority="2792" operator="between">
      <formula>0.51</formula>
      <formula>0.75</formula>
    </cfRule>
    <cfRule type="cellIs" dxfId="4902" priority="2793" operator="greaterThan">
      <formula>1</formula>
    </cfRule>
    <cfRule type="cellIs" dxfId="4901" priority="2794" operator="between">
      <formula>0.95</formula>
      <formula>1</formula>
    </cfRule>
    <cfRule type="cellIs" dxfId="4900" priority="2795" stopIfTrue="1" operator="between">
      <formula>0</formula>
      <formula>0.5</formula>
    </cfRule>
  </conditionalFormatting>
  <conditionalFormatting sqref="I113">
    <cfRule type="cellIs" dxfId="4899" priority="2754" operator="between">
      <formula>0.76</formula>
      <formula>0.95</formula>
    </cfRule>
    <cfRule type="cellIs" dxfId="4898" priority="2755" operator="between">
      <formula>0.51</formula>
      <formula>0.75</formula>
    </cfRule>
    <cfRule type="cellIs" dxfId="4897" priority="2756" operator="greaterThan">
      <formula>1</formula>
    </cfRule>
    <cfRule type="cellIs" dxfId="4896" priority="2757" operator="between">
      <formula>0.95</formula>
      <formula>1</formula>
    </cfRule>
    <cfRule type="cellIs" dxfId="4895" priority="2758" stopIfTrue="1" operator="between">
      <formula>0</formula>
      <formula>0.5</formula>
    </cfRule>
  </conditionalFormatting>
  <conditionalFormatting sqref="K113">
    <cfRule type="cellIs" dxfId="4894" priority="2749" operator="between">
      <formula>0.191</formula>
      <formula>0.24</formula>
    </cfRule>
    <cfRule type="cellIs" dxfId="4893" priority="2750" operator="between">
      <formula>0.1251</formula>
      <formula>0.19</formula>
    </cfRule>
    <cfRule type="cellIs" dxfId="4892" priority="2751" operator="greaterThan">
      <formula>0.2601</formula>
    </cfRule>
    <cfRule type="cellIs" dxfId="4891" priority="2752" operator="between">
      <formula>0.2401</formula>
      <formula>0.26</formula>
    </cfRule>
    <cfRule type="cellIs" dxfId="4890" priority="2753" stopIfTrue="1" operator="between">
      <formula>0</formula>
      <formula>0.125</formula>
    </cfRule>
  </conditionalFormatting>
  <conditionalFormatting sqref="P113">
    <cfRule type="cellIs" dxfId="4889" priority="2718" operator="between">
      <formula>0.76</formula>
      <formula>0.95</formula>
    </cfRule>
    <cfRule type="cellIs" dxfId="4888" priority="2719" operator="between">
      <formula>0.51</formula>
      <formula>0.75</formula>
    </cfRule>
    <cfRule type="cellIs" dxfId="4887" priority="2720" operator="greaterThan">
      <formula>1</formula>
    </cfRule>
    <cfRule type="cellIs" dxfId="4886" priority="2721" operator="between">
      <formula>0.95</formula>
      <formula>1</formula>
    </cfRule>
    <cfRule type="cellIs" dxfId="4885" priority="2722" stopIfTrue="1" operator="between">
      <formula>0</formula>
      <formula>0.5</formula>
    </cfRule>
  </conditionalFormatting>
  <conditionalFormatting sqref="W113">
    <cfRule type="cellIs" dxfId="4884" priority="2679" operator="between">
      <formula>0.76</formula>
      <formula>0.95</formula>
    </cfRule>
    <cfRule type="cellIs" dxfId="4883" priority="2680" operator="between">
      <formula>0.51</formula>
      <formula>0.75</formula>
    </cfRule>
    <cfRule type="cellIs" dxfId="4882" priority="2681" operator="greaterThan">
      <formula>1</formula>
    </cfRule>
    <cfRule type="cellIs" dxfId="4881" priority="2682" operator="between">
      <formula>0.95</formula>
      <formula>1</formula>
    </cfRule>
    <cfRule type="cellIs" dxfId="4880" priority="2683" stopIfTrue="1" operator="between">
      <formula>0</formula>
      <formula>0.5</formula>
    </cfRule>
  </conditionalFormatting>
  <conditionalFormatting sqref="Y113">
    <cfRule type="cellIs" dxfId="4879" priority="2674" operator="between">
      <formula>0.76</formula>
      <formula>0.95</formula>
    </cfRule>
    <cfRule type="cellIs" dxfId="4878" priority="2675" operator="between">
      <formula>0.51</formula>
      <formula>0.75</formula>
    </cfRule>
    <cfRule type="cellIs" dxfId="4877" priority="2676" operator="greaterThan">
      <formula>1</formula>
    </cfRule>
    <cfRule type="cellIs" dxfId="4876" priority="2677" operator="between">
      <formula>0.95</formula>
      <formula>1</formula>
    </cfRule>
    <cfRule type="cellIs" dxfId="4875" priority="2678" stopIfTrue="1" operator="between">
      <formula>0</formula>
      <formula>0.5</formula>
    </cfRule>
  </conditionalFormatting>
  <conditionalFormatting sqref="AD113">
    <cfRule type="cellIs" dxfId="4874" priority="2640" operator="between">
      <formula>0.76</formula>
      <formula>0.95</formula>
    </cfRule>
    <cfRule type="cellIs" dxfId="4873" priority="2641" operator="between">
      <formula>0.51</formula>
      <formula>0.75</formula>
    </cfRule>
    <cfRule type="cellIs" dxfId="4872" priority="2642" operator="greaterThan">
      <formula>1</formula>
    </cfRule>
    <cfRule type="cellIs" dxfId="4871" priority="2643" operator="between">
      <formula>0.95</formula>
      <formula>1</formula>
    </cfRule>
    <cfRule type="cellIs" dxfId="4870" priority="2644" stopIfTrue="1" operator="between">
      <formula>0</formula>
      <formula>0.5</formula>
    </cfRule>
  </conditionalFormatting>
  <conditionalFormatting sqref="AF113">
    <cfRule type="cellIs" dxfId="4869" priority="2635" operator="between">
      <formula>0.76</formula>
      <formula>0.95</formula>
    </cfRule>
    <cfRule type="cellIs" dxfId="4868" priority="2636" operator="between">
      <formula>0.51</formula>
      <formula>0.75</formula>
    </cfRule>
    <cfRule type="cellIs" dxfId="4867" priority="2637" operator="greaterThan">
      <formula>1</formula>
    </cfRule>
    <cfRule type="cellIs" dxfId="4866" priority="2638" operator="between">
      <formula>0.95</formula>
      <formula>1</formula>
    </cfRule>
    <cfRule type="cellIs" dxfId="4865" priority="2639" stopIfTrue="1" operator="between">
      <formula>0</formula>
      <formula>0.5</formula>
    </cfRule>
  </conditionalFormatting>
  <conditionalFormatting sqref="I193">
    <cfRule type="cellIs" dxfId="4864" priority="2624" operator="between">
      <formula>0.76</formula>
      <formula>0.95</formula>
    </cfRule>
    <cfRule type="cellIs" dxfId="4863" priority="2625" operator="between">
      <formula>0.51</formula>
      <formula>0.75</formula>
    </cfRule>
    <cfRule type="cellIs" dxfId="4862" priority="2626" operator="greaterThan">
      <formula>1</formula>
    </cfRule>
    <cfRule type="cellIs" dxfId="4861" priority="2627" operator="between">
      <formula>0.95</formula>
      <formula>1</formula>
    </cfRule>
    <cfRule type="cellIs" dxfId="4860" priority="2628" stopIfTrue="1" operator="between">
      <formula>0</formula>
      <formula>0.5</formula>
    </cfRule>
  </conditionalFormatting>
  <conditionalFormatting sqref="K193">
    <cfRule type="cellIs" dxfId="4859" priority="2619" operator="between">
      <formula>0.191</formula>
      <formula>0.24</formula>
    </cfRule>
    <cfRule type="cellIs" dxfId="4858" priority="2620" operator="between">
      <formula>0.1251</formula>
      <formula>0.19</formula>
    </cfRule>
    <cfRule type="cellIs" dxfId="4857" priority="2621" operator="greaterThan">
      <formula>0.2601</formula>
    </cfRule>
    <cfRule type="cellIs" dxfId="4856" priority="2622" operator="between">
      <formula>0.2401</formula>
      <formula>0.26</formula>
    </cfRule>
    <cfRule type="cellIs" dxfId="4855" priority="2623" stopIfTrue="1" operator="between">
      <formula>0</formula>
      <formula>0.125</formula>
    </cfRule>
  </conditionalFormatting>
  <conditionalFormatting sqref="P193">
    <cfRule type="cellIs" dxfId="4854" priority="2614" operator="between">
      <formula>0.76</formula>
      <formula>0.95</formula>
    </cfRule>
    <cfRule type="cellIs" dxfId="4853" priority="2615" operator="between">
      <formula>0.51</formula>
      <formula>0.75</formula>
    </cfRule>
    <cfRule type="cellIs" dxfId="4852" priority="2616" operator="greaterThan">
      <formula>1</formula>
    </cfRule>
    <cfRule type="cellIs" dxfId="4851" priority="2617" operator="between">
      <formula>0.95</formula>
      <formula>1</formula>
    </cfRule>
    <cfRule type="cellIs" dxfId="4850" priority="2618" stopIfTrue="1" operator="between">
      <formula>0</formula>
      <formula>0.5</formula>
    </cfRule>
  </conditionalFormatting>
  <conditionalFormatting sqref="W193">
    <cfRule type="cellIs" dxfId="4849" priority="2601" operator="between">
      <formula>0.76</formula>
      <formula>0.95</formula>
    </cfRule>
    <cfRule type="cellIs" dxfId="4848" priority="2602" operator="between">
      <formula>0.51</formula>
      <formula>0.75</formula>
    </cfRule>
    <cfRule type="cellIs" dxfId="4847" priority="2603" operator="greaterThan">
      <formula>1</formula>
    </cfRule>
    <cfRule type="cellIs" dxfId="4846" priority="2604" operator="between">
      <formula>0.95</formula>
      <formula>1</formula>
    </cfRule>
    <cfRule type="cellIs" dxfId="4845" priority="2605" stopIfTrue="1" operator="between">
      <formula>0</formula>
      <formula>0.5</formula>
    </cfRule>
  </conditionalFormatting>
  <conditionalFormatting sqref="Y193">
    <cfRule type="cellIs" dxfId="4844" priority="2596" operator="between">
      <formula>0.76</formula>
      <formula>0.95</formula>
    </cfRule>
    <cfRule type="cellIs" dxfId="4843" priority="2597" operator="between">
      <formula>0.51</formula>
      <formula>0.75</formula>
    </cfRule>
    <cfRule type="cellIs" dxfId="4842" priority="2598" operator="greaterThan">
      <formula>1</formula>
    </cfRule>
    <cfRule type="cellIs" dxfId="4841" priority="2599" operator="between">
      <formula>0.95</formula>
      <formula>1</formula>
    </cfRule>
    <cfRule type="cellIs" dxfId="4840" priority="2600" stopIfTrue="1" operator="between">
      <formula>0</formula>
      <formula>0.5</formula>
    </cfRule>
  </conditionalFormatting>
  <conditionalFormatting sqref="AD193">
    <cfRule type="cellIs" dxfId="4839" priority="2588" operator="between">
      <formula>0.76</formula>
      <formula>0.95</formula>
    </cfRule>
    <cfRule type="cellIs" dxfId="4838" priority="2589" operator="between">
      <formula>0.51</formula>
      <formula>0.75</formula>
    </cfRule>
    <cfRule type="cellIs" dxfId="4837" priority="2590" operator="greaterThan">
      <formula>1</formula>
    </cfRule>
    <cfRule type="cellIs" dxfId="4836" priority="2591" operator="between">
      <formula>0.95</formula>
      <formula>1</formula>
    </cfRule>
    <cfRule type="cellIs" dxfId="4835" priority="2592" stopIfTrue="1" operator="between">
      <formula>0</formula>
      <formula>0.5</formula>
    </cfRule>
  </conditionalFormatting>
  <conditionalFormatting sqref="AF193">
    <cfRule type="cellIs" dxfId="4834" priority="2583" operator="between">
      <formula>0.76</formula>
      <formula>0.95</formula>
    </cfRule>
    <cfRule type="cellIs" dxfId="4833" priority="2584" operator="between">
      <formula>0.51</formula>
      <formula>0.75</formula>
    </cfRule>
    <cfRule type="cellIs" dxfId="4832" priority="2585" operator="greaterThan">
      <formula>1</formula>
    </cfRule>
    <cfRule type="cellIs" dxfId="4831" priority="2586" operator="between">
      <formula>0.95</formula>
      <formula>1</formula>
    </cfRule>
    <cfRule type="cellIs" dxfId="4830" priority="2587" stopIfTrue="1" operator="between">
      <formula>0</formula>
      <formula>0.5</formula>
    </cfRule>
  </conditionalFormatting>
  <conditionalFormatting sqref="I194">
    <cfRule type="cellIs" dxfId="4829" priority="2572" operator="between">
      <formula>0.76</formula>
      <formula>0.95</formula>
    </cfRule>
    <cfRule type="cellIs" dxfId="4828" priority="2573" operator="between">
      <formula>0.51</formula>
      <formula>0.75</formula>
    </cfRule>
    <cfRule type="cellIs" dxfId="4827" priority="2574" operator="greaterThan">
      <formula>1</formula>
    </cfRule>
    <cfRule type="cellIs" dxfId="4826" priority="2575" operator="between">
      <formula>0.95</formula>
      <formula>1</formula>
    </cfRule>
    <cfRule type="cellIs" dxfId="4825" priority="2576" stopIfTrue="1" operator="between">
      <formula>0</formula>
      <formula>0.5</formula>
    </cfRule>
  </conditionalFormatting>
  <conditionalFormatting sqref="K194">
    <cfRule type="cellIs" dxfId="4824" priority="2567" operator="between">
      <formula>0.191</formula>
      <formula>0.24</formula>
    </cfRule>
    <cfRule type="cellIs" dxfId="4823" priority="2568" operator="between">
      <formula>0.1251</formula>
      <formula>0.19</formula>
    </cfRule>
    <cfRule type="cellIs" dxfId="4822" priority="2569" operator="greaterThan">
      <formula>0.2601</formula>
    </cfRule>
    <cfRule type="cellIs" dxfId="4821" priority="2570" operator="between">
      <formula>0.2401</formula>
      <formula>0.26</formula>
    </cfRule>
    <cfRule type="cellIs" dxfId="4820" priority="2571" stopIfTrue="1" operator="between">
      <formula>0</formula>
      <formula>0.125</formula>
    </cfRule>
  </conditionalFormatting>
  <conditionalFormatting sqref="P194">
    <cfRule type="cellIs" dxfId="4819" priority="2559" operator="between">
      <formula>0.76</formula>
      <formula>0.95</formula>
    </cfRule>
    <cfRule type="cellIs" dxfId="4818" priority="2560" operator="between">
      <formula>0.51</formula>
      <formula>0.75</formula>
    </cfRule>
    <cfRule type="cellIs" dxfId="4817" priority="2561" operator="greaterThan">
      <formula>1</formula>
    </cfRule>
    <cfRule type="cellIs" dxfId="4816" priority="2562" operator="between">
      <formula>0.95</formula>
      <formula>1</formula>
    </cfRule>
    <cfRule type="cellIs" dxfId="4815" priority="2563" stopIfTrue="1" operator="between">
      <formula>0</formula>
      <formula>0.5</formula>
    </cfRule>
  </conditionalFormatting>
  <conditionalFormatting sqref="W194">
    <cfRule type="cellIs" dxfId="4814" priority="2546" operator="between">
      <formula>0.76</formula>
      <formula>0.95</formula>
    </cfRule>
    <cfRule type="cellIs" dxfId="4813" priority="2547" operator="between">
      <formula>0.51</formula>
      <formula>0.75</formula>
    </cfRule>
    <cfRule type="cellIs" dxfId="4812" priority="2548" operator="greaterThan">
      <formula>1</formula>
    </cfRule>
    <cfRule type="cellIs" dxfId="4811" priority="2549" operator="between">
      <formula>0.95</formula>
      <formula>1</formula>
    </cfRule>
    <cfRule type="cellIs" dxfId="4810" priority="2550" stopIfTrue="1" operator="between">
      <formula>0</formula>
      <formula>0.5</formula>
    </cfRule>
  </conditionalFormatting>
  <conditionalFormatting sqref="Y194">
    <cfRule type="cellIs" dxfId="4809" priority="2541" operator="between">
      <formula>0.76</formula>
      <formula>0.95</formula>
    </cfRule>
    <cfRule type="cellIs" dxfId="4808" priority="2542" operator="between">
      <formula>0.51</formula>
      <formula>0.75</formula>
    </cfRule>
    <cfRule type="cellIs" dxfId="4807" priority="2543" operator="greaterThan">
      <formula>1</formula>
    </cfRule>
    <cfRule type="cellIs" dxfId="4806" priority="2544" operator="between">
      <formula>0.95</formula>
      <formula>1</formula>
    </cfRule>
    <cfRule type="cellIs" dxfId="4805" priority="2545" stopIfTrue="1" operator="between">
      <formula>0</formula>
      <formula>0.5</formula>
    </cfRule>
  </conditionalFormatting>
  <conditionalFormatting sqref="AD194">
    <cfRule type="cellIs" dxfId="4804" priority="2533" operator="between">
      <formula>0.76</formula>
      <formula>0.95</formula>
    </cfRule>
    <cfRule type="cellIs" dxfId="4803" priority="2534" operator="between">
      <formula>0.51</formula>
      <formula>0.75</formula>
    </cfRule>
    <cfRule type="cellIs" dxfId="4802" priority="2535" operator="greaterThan">
      <formula>1</formula>
    </cfRule>
    <cfRule type="cellIs" dxfId="4801" priority="2536" operator="between">
      <formula>0.95</formula>
      <formula>1</formula>
    </cfRule>
    <cfRule type="cellIs" dxfId="4800" priority="2537" stopIfTrue="1" operator="between">
      <formula>0</formula>
      <formula>0.5</formula>
    </cfRule>
  </conditionalFormatting>
  <conditionalFormatting sqref="AF194">
    <cfRule type="cellIs" dxfId="4799" priority="2528" operator="between">
      <formula>0.76</formula>
      <formula>0.95</formula>
    </cfRule>
    <cfRule type="cellIs" dxfId="4798" priority="2529" operator="between">
      <formula>0.51</formula>
      <formula>0.75</formula>
    </cfRule>
    <cfRule type="cellIs" dxfId="4797" priority="2530" operator="greaterThan">
      <formula>1</formula>
    </cfRule>
    <cfRule type="cellIs" dxfId="4796" priority="2531" operator="between">
      <formula>0.95</formula>
      <formula>1</formula>
    </cfRule>
    <cfRule type="cellIs" dxfId="4795" priority="2532" stopIfTrue="1" operator="between">
      <formula>0</formula>
      <formula>0.5</formula>
    </cfRule>
  </conditionalFormatting>
  <conditionalFormatting sqref="I226">
    <cfRule type="cellIs" dxfId="4794" priority="2462" operator="between">
      <formula>0.76</formula>
      <formula>0.95</formula>
    </cfRule>
    <cfRule type="cellIs" dxfId="4793" priority="2463" operator="between">
      <formula>0.51</formula>
      <formula>0.75</formula>
    </cfRule>
    <cfRule type="cellIs" dxfId="4792" priority="2464" operator="greaterThan">
      <formula>1</formula>
    </cfRule>
    <cfRule type="cellIs" dxfId="4791" priority="2465" operator="between">
      <formula>0.95</formula>
      <formula>1</formula>
    </cfRule>
    <cfRule type="cellIs" dxfId="4790" priority="2466" stopIfTrue="1" operator="between">
      <formula>0</formula>
      <formula>0.5</formula>
    </cfRule>
  </conditionalFormatting>
  <conditionalFormatting sqref="K226">
    <cfRule type="cellIs" dxfId="4789" priority="2427" operator="between">
      <formula>0.191</formula>
      <formula>0.24</formula>
    </cfRule>
    <cfRule type="cellIs" dxfId="4788" priority="2428" operator="between">
      <formula>0.1251</formula>
      <formula>0.19</formula>
    </cfRule>
    <cfRule type="cellIs" dxfId="4787" priority="2429" operator="greaterThan">
      <formula>0.2601</formula>
    </cfRule>
    <cfRule type="cellIs" dxfId="4786" priority="2430" operator="between">
      <formula>0.2401</formula>
      <formula>0.26</formula>
    </cfRule>
    <cfRule type="cellIs" dxfId="4785" priority="2431" stopIfTrue="1" operator="between">
      <formula>0</formula>
      <formula>0.125</formula>
    </cfRule>
  </conditionalFormatting>
  <conditionalFormatting sqref="P226">
    <cfRule type="cellIs" dxfId="4784" priority="2422" operator="between">
      <formula>0.76</formula>
      <formula>0.95</formula>
    </cfRule>
    <cfRule type="cellIs" dxfId="4783" priority="2423" operator="between">
      <formula>0.51</formula>
      <formula>0.75</formula>
    </cfRule>
    <cfRule type="cellIs" dxfId="4782" priority="2424" operator="greaterThan">
      <formula>1</formula>
    </cfRule>
    <cfRule type="cellIs" dxfId="4781" priority="2425" operator="between">
      <formula>0.95</formula>
      <formula>1</formula>
    </cfRule>
    <cfRule type="cellIs" dxfId="4780" priority="2426" stopIfTrue="1" operator="between">
      <formula>0</formula>
      <formula>0.5</formula>
    </cfRule>
  </conditionalFormatting>
  <conditionalFormatting sqref="W226">
    <cfRule type="cellIs" dxfId="4779" priority="2407" operator="between">
      <formula>0.76</formula>
      <formula>0.95</formula>
    </cfRule>
    <cfRule type="cellIs" dxfId="4778" priority="2408" operator="between">
      <formula>0.51</formula>
      <formula>0.75</formula>
    </cfRule>
    <cfRule type="cellIs" dxfId="4777" priority="2409" operator="greaterThan">
      <formula>1</formula>
    </cfRule>
    <cfRule type="cellIs" dxfId="4776" priority="2410" operator="between">
      <formula>0.95</formula>
      <formula>1</formula>
    </cfRule>
    <cfRule type="cellIs" dxfId="4775" priority="2411" stopIfTrue="1" operator="between">
      <formula>0</formula>
      <formula>0.5</formula>
    </cfRule>
  </conditionalFormatting>
  <conditionalFormatting sqref="Y226">
    <cfRule type="cellIs" dxfId="4774" priority="2402" operator="between">
      <formula>0.76</formula>
      <formula>0.95</formula>
    </cfRule>
    <cfRule type="cellIs" dxfId="4773" priority="2403" operator="between">
      <formula>0.51</formula>
      <formula>0.75</formula>
    </cfRule>
    <cfRule type="cellIs" dxfId="4772" priority="2404" operator="greaterThan">
      <formula>1</formula>
    </cfRule>
    <cfRule type="cellIs" dxfId="4771" priority="2405" operator="between">
      <formula>0.95</formula>
      <formula>1</formula>
    </cfRule>
    <cfRule type="cellIs" dxfId="4770" priority="2406" stopIfTrue="1" operator="between">
      <formula>0</formula>
      <formula>0.5</formula>
    </cfRule>
  </conditionalFormatting>
  <conditionalFormatting sqref="AD226">
    <cfRule type="cellIs" dxfId="4769" priority="2397" operator="between">
      <formula>0.76</formula>
      <formula>0.95</formula>
    </cfRule>
    <cfRule type="cellIs" dxfId="4768" priority="2398" operator="between">
      <formula>0.51</formula>
      <formula>0.75</formula>
    </cfRule>
    <cfRule type="cellIs" dxfId="4767" priority="2399" operator="greaterThan">
      <formula>1</formula>
    </cfRule>
    <cfRule type="cellIs" dxfId="4766" priority="2400" operator="between">
      <formula>0.95</formula>
      <formula>1</formula>
    </cfRule>
    <cfRule type="cellIs" dxfId="4765" priority="2401" stopIfTrue="1" operator="between">
      <formula>0</formula>
      <formula>0.5</formula>
    </cfRule>
  </conditionalFormatting>
  <conditionalFormatting sqref="AF226">
    <cfRule type="cellIs" dxfId="4764" priority="2392" operator="between">
      <formula>0.76</formula>
      <formula>0.95</formula>
    </cfRule>
    <cfRule type="cellIs" dxfId="4763" priority="2393" operator="between">
      <formula>0.51</formula>
      <formula>0.75</formula>
    </cfRule>
    <cfRule type="cellIs" dxfId="4762" priority="2394" operator="greaterThan">
      <formula>1</formula>
    </cfRule>
    <cfRule type="cellIs" dxfId="4761" priority="2395" operator="between">
      <formula>0.95</formula>
      <formula>1</formula>
    </cfRule>
    <cfRule type="cellIs" dxfId="4760" priority="2396" stopIfTrue="1" operator="between">
      <formula>0</formula>
      <formula>0.5</formula>
    </cfRule>
  </conditionalFormatting>
  <conditionalFormatting sqref="AF225">
    <cfRule type="cellIs" dxfId="4759" priority="2387" operator="between">
      <formula>0.76</formula>
      <formula>0.95</formula>
    </cfRule>
    <cfRule type="cellIs" dxfId="4758" priority="2388" operator="between">
      <formula>0.51</formula>
      <formula>0.75</formula>
    </cfRule>
    <cfRule type="cellIs" dxfId="4757" priority="2389" operator="greaterThan">
      <formula>1</formula>
    </cfRule>
    <cfRule type="cellIs" dxfId="4756" priority="2390" operator="between">
      <formula>0.95</formula>
      <formula>1</formula>
    </cfRule>
    <cfRule type="cellIs" dxfId="4755" priority="2391" stopIfTrue="1" operator="between">
      <formula>0</formula>
      <formula>0.5</formula>
    </cfRule>
  </conditionalFormatting>
  <conditionalFormatting sqref="R223">
    <cfRule type="cellIs" dxfId="4754" priority="2372" operator="between">
      <formula>0.3751</formula>
      <formula>0.475</formula>
    </cfRule>
    <cfRule type="cellIs" dxfId="4753" priority="2373" operator="between">
      <formula>0.2551</formula>
      <formula>0.375</formula>
    </cfRule>
    <cfRule type="cellIs" dxfId="4752" priority="2374" operator="greaterThan">
      <formula>0.505</formula>
    </cfRule>
    <cfRule type="cellIs" dxfId="4751" priority="2375" operator="between">
      <formula>0.4751</formula>
      <formula>0.5</formula>
    </cfRule>
    <cfRule type="cellIs" dxfId="4750" priority="2376" stopIfTrue="1" operator="between">
      <formula>0</formula>
      <formula>0.255</formula>
    </cfRule>
  </conditionalFormatting>
  <conditionalFormatting sqref="R226">
    <cfRule type="cellIs" dxfId="4749" priority="2356" operator="between">
      <formula>0.3751</formula>
      <formula>0.475</formula>
    </cfRule>
    <cfRule type="cellIs" dxfId="4748" priority="2357" operator="between">
      <formula>0.2551</formula>
      <formula>0.375</formula>
    </cfRule>
    <cfRule type="cellIs" dxfId="4747" priority="2358" operator="greaterThan">
      <formula>0.505</formula>
    </cfRule>
    <cfRule type="cellIs" dxfId="4746" priority="2359" operator="between">
      <formula>0.48</formula>
      <formula>0.51</formula>
    </cfRule>
    <cfRule type="cellIs" dxfId="4745" priority="2360" stopIfTrue="1" operator="between">
      <formula>0</formula>
      <formula>0.255</formula>
    </cfRule>
  </conditionalFormatting>
  <conditionalFormatting sqref="R16">
    <cfRule type="cellIs" dxfId="4744" priority="2351" operator="between">
      <formula>0.3751</formula>
      <formula>0.475</formula>
    </cfRule>
    <cfRule type="cellIs" dxfId="4743" priority="2352" operator="between">
      <formula>0.2551</formula>
      <formula>0.375</formula>
    </cfRule>
    <cfRule type="cellIs" dxfId="4742" priority="2353" operator="greaterThan">
      <formula>0.505</formula>
    </cfRule>
    <cfRule type="cellIs" dxfId="4741" priority="2354" operator="between">
      <formula>0.48</formula>
      <formula>0.5</formula>
    </cfRule>
    <cfRule type="cellIs" dxfId="4740" priority="2355" stopIfTrue="1" operator="between">
      <formula>0</formula>
      <formula>0.255</formula>
    </cfRule>
  </conditionalFormatting>
  <conditionalFormatting sqref="R17">
    <cfRule type="cellIs" dxfId="4739" priority="2346" operator="between">
      <formula>0.3751</formula>
      <formula>0.475</formula>
    </cfRule>
    <cfRule type="cellIs" dxfId="4738" priority="2347" operator="between">
      <formula>0.2551</formula>
      <formula>0.375</formula>
    </cfRule>
    <cfRule type="cellIs" dxfId="4737" priority="2348" operator="greaterThan">
      <formula>0.505</formula>
    </cfRule>
    <cfRule type="cellIs" dxfId="4736" priority="2349" operator="between">
      <formula>0.48</formula>
      <formula>0.5</formula>
    </cfRule>
    <cfRule type="cellIs" dxfId="4735" priority="2350" stopIfTrue="1" operator="between">
      <formula>0</formula>
      <formula>0.255</formula>
    </cfRule>
  </conditionalFormatting>
  <conditionalFormatting sqref="R18">
    <cfRule type="cellIs" dxfId="4734" priority="2331" operator="between">
      <formula>0.3751</formula>
      <formula>0.475</formula>
    </cfRule>
    <cfRule type="cellIs" dxfId="4733" priority="2332" operator="between">
      <formula>0.2551</formula>
      <formula>0.375</formula>
    </cfRule>
    <cfRule type="cellIs" dxfId="4732" priority="2333" operator="greaterThan">
      <formula>0.505</formula>
    </cfRule>
    <cfRule type="cellIs" dxfId="4731" priority="2334" operator="between">
      <formula>0.48</formula>
      <formula>0.5</formula>
    </cfRule>
    <cfRule type="cellIs" dxfId="4730" priority="2335" stopIfTrue="1" operator="between">
      <formula>0</formula>
      <formula>0.255</formula>
    </cfRule>
  </conditionalFormatting>
  <conditionalFormatting sqref="R19">
    <cfRule type="cellIs" dxfId="4729" priority="2326" operator="between">
      <formula>0.3751</formula>
      <formula>0.475</formula>
    </cfRule>
    <cfRule type="cellIs" dxfId="4728" priority="2327" operator="between">
      <formula>0.2551</formula>
      <formula>0.375</formula>
    </cfRule>
    <cfRule type="cellIs" dxfId="4727" priority="2328" operator="greaterThan">
      <formula>0.505</formula>
    </cfRule>
    <cfRule type="cellIs" dxfId="4726" priority="2329" operator="between">
      <formula>0.48</formula>
      <formula>0.5</formula>
    </cfRule>
    <cfRule type="cellIs" dxfId="4725" priority="2330" stopIfTrue="1" operator="between">
      <formula>0</formula>
      <formula>0.255</formula>
    </cfRule>
  </conditionalFormatting>
  <conditionalFormatting sqref="R20">
    <cfRule type="cellIs" dxfId="4724" priority="2321" operator="between">
      <formula>0.3751</formula>
      <formula>0.475</formula>
    </cfRule>
    <cfRule type="cellIs" dxfId="4723" priority="2322" operator="between">
      <formula>0.2551</formula>
      <formula>0.375</formula>
    </cfRule>
    <cfRule type="cellIs" dxfId="4722" priority="2323" operator="greaterThan">
      <formula>0.505</formula>
    </cfRule>
    <cfRule type="cellIs" dxfId="4721" priority="2324" operator="between">
      <formula>0.48</formula>
      <formula>0.5</formula>
    </cfRule>
    <cfRule type="cellIs" dxfId="4720" priority="2325" stopIfTrue="1" operator="between">
      <formula>0</formula>
      <formula>0.255</formula>
    </cfRule>
  </conditionalFormatting>
  <conditionalFormatting sqref="R21">
    <cfRule type="cellIs" dxfId="4719" priority="2316" operator="between">
      <formula>0.3751</formula>
      <formula>0.475</formula>
    </cfRule>
    <cfRule type="cellIs" dxfId="4718" priority="2317" operator="between">
      <formula>0.2551</formula>
      <formula>0.375</formula>
    </cfRule>
    <cfRule type="cellIs" dxfId="4717" priority="2318" operator="greaterThan">
      <formula>0.505</formula>
    </cfRule>
    <cfRule type="cellIs" dxfId="4716" priority="2319" operator="between">
      <formula>0.48</formula>
      <formula>0.5</formula>
    </cfRule>
    <cfRule type="cellIs" dxfId="4715" priority="2320" stopIfTrue="1" operator="between">
      <formula>0</formula>
      <formula>0.255</formula>
    </cfRule>
  </conditionalFormatting>
  <conditionalFormatting sqref="R22">
    <cfRule type="cellIs" dxfId="4714" priority="2311" operator="between">
      <formula>0.3751</formula>
      <formula>0.475</formula>
    </cfRule>
    <cfRule type="cellIs" dxfId="4713" priority="2312" operator="between">
      <formula>0.2551</formula>
      <formula>0.375</formula>
    </cfRule>
    <cfRule type="cellIs" dxfId="4712" priority="2313" operator="greaterThan">
      <formula>0.505</formula>
    </cfRule>
    <cfRule type="cellIs" dxfId="4711" priority="2314" operator="between">
      <formula>0.48</formula>
      <formula>0.5</formula>
    </cfRule>
    <cfRule type="cellIs" dxfId="4710" priority="2315" stopIfTrue="1" operator="between">
      <formula>0</formula>
      <formula>0.255</formula>
    </cfRule>
  </conditionalFormatting>
  <conditionalFormatting sqref="R23">
    <cfRule type="cellIs" dxfId="4709" priority="2306" operator="between">
      <formula>0.3751</formula>
      <formula>0.475</formula>
    </cfRule>
    <cfRule type="cellIs" dxfId="4708" priority="2307" operator="between">
      <formula>0.2551</formula>
      <formula>0.375</formula>
    </cfRule>
    <cfRule type="cellIs" dxfId="4707" priority="2308" operator="greaterThan">
      <formula>0.505</formula>
    </cfRule>
    <cfRule type="cellIs" dxfId="4706" priority="2309" operator="between">
      <formula>0.48</formula>
      <formula>0.5</formula>
    </cfRule>
    <cfRule type="cellIs" dxfId="4705" priority="2310" stopIfTrue="1" operator="between">
      <formula>0</formula>
      <formula>0.255</formula>
    </cfRule>
  </conditionalFormatting>
  <conditionalFormatting sqref="R24">
    <cfRule type="cellIs" dxfId="4704" priority="2301" operator="between">
      <formula>0.3751</formula>
      <formula>0.475</formula>
    </cfRule>
    <cfRule type="cellIs" dxfId="4703" priority="2302" operator="between">
      <formula>0.2551</formula>
      <formula>0.375</formula>
    </cfRule>
    <cfRule type="cellIs" dxfId="4702" priority="2303" operator="greaterThan">
      <formula>0.505</formula>
    </cfRule>
    <cfRule type="cellIs" dxfId="4701" priority="2304" operator="between">
      <formula>0.48</formula>
      <formula>0.5</formula>
    </cfRule>
    <cfRule type="cellIs" dxfId="4700" priority="2305" stopIfTrue="1" operator="between">
      <formula>0</formula>
      <formula>0.255</formula>
    </cfRule>
  </conditionalFormatting>
  <conditionalFormatting sqref="R25">
    <cfRule type="cellIs" dxfId="4699" priority="2296" operator="between">
      <formula>0.3751</formula>
      <formula>0.475</formula>
    </cfRule>
    <cfRule type="cellIs" dxfId="4698" priority="2297" operator="between">
      <formula>0.2551</formula>
      <formula>0.375</formula>
    </cfRule>
    <cfRule type="cellIs" dxfId="4697" priority="2298" operator="greaterThan">
      <formula>0.505</formula>
    </cfRule>
    <cfRule type="cellIs" dxfId="4696" priority="2299" operator="between">
      <formula>0.48</formula>
      <formula>0.5</formula>
    </cfRule>
    <cfRule type="cellIs" dxfId="4695" priority="2300" stopIfTrue="1" operator="between">
      <formula>0</formula>
      <formula>0.255</formula>
    </cfRule>
  </conditionalFormatting>
  <conditionalFormatting sqref="R26">
    <cfRule type="cellIs" dxfId="4694" priority="2291" operator="between">
      <formula>0.3751</formula>
      <formula>0.475</formula>
    </cfRule>
    <cfRule type="cellIs" dxfId="4693" priority="2292" operator="between">
      <formula>0.2551</formula>
      <formula>0.375</formula>
    </cfRule>
    <cfRule type="cellIs" dxfId="4692" priority="2293" operator="greaterThan">
      <formula>0.505</formula>
    </cfRule>
    <cfRule type="cellIs" dxfId="4691" priority="2294" operator="between">
      <formula>0.48</formula>
      <formula>0.5</formula>
    </cfRule>
    <cfRule type="cellIs" dxfId="4690" priority="2295" stopIfTrue="1" operator="between">
      <formula>0</formula>
      <formula>0.255</formula>
    </cfRule>
  </conditionalFormatting>
  <conditionalFormatting sqref="R27">
    <cfRule type="cellIs" dxfId="4689" priority="2286" operator="between">
      <formula>0.3751</formula>
      <formula>0.475</formula>
    </cfRule>
    <cfRule type="cellIs" dxfId="4688" priority="2287" operator="between">
      <formula>0.2551</formula>
      <formula>0.375</formula>
    </cfRule>
    <cfRule type="cellIs" dxfId="4687" priority="2288" operator="greaterThan">
      <formula>0.505</formula>
    </cfRule>
    <cfRule type="cellIs" dxfId="4686" priority="2289" operator="between">
      <formula>0.48</formula>
      <formula>0.5</formula>
    </cfRule>
    <cfRule type="cellIs" dxfId="4685" priority="2290" stopIfTrue="1" operator="between">
      <formula>0</formula>
      <formula>0.255</formula>
    </cfRule>
  </conditionalFormatting>
  <conditionalFormatting sqref="R28">
    <cfRule type="cellIs" dxfId="4684" priority="2281" operator="between">
      <formula>0.3751</formula>
      <formula>0.475</formula>
    </cfRule>
    <cfRule type="cellIs" dxfId="4683" priority="2282" operator="between">
      <formula>0.2551</formula>
      <formula>0.375</formula>
    </cfRule>
    <cfRule type="cellIs" dxfId="4682" priority="2283" operator="greaterThan">
      <formula>0.505</formula>
    </cfRule>
    <cfRule type="cellIs" dxfId="4681" priority="2284" operator="between">
      <formula>0.48</formula>
      <formula>0.5</formula>
    </cfRule>
    <cfRule type="cellIs" dxfId="4680" priority="2285" stopIfTrue="1" operator="between">
      <formula>0</formula>
      <formula>0.255</formula>
    </cfRule>
  </conditionalFormatting>
  <conditionalFormatting sqref="R29">
    <cfRule type="cellIs" dxfId="4679" priority="2276" operator="between">
      <formula>0.3751</formula>
      <formula>0.475</formula>
    </cfRule>
    <cfRule type="cellIs" dxfId="4678" priority="2277" operator="between">
      <formula>0.2551</formula>
      <formula>0.375</formula>
    </cfRule>
    <cfRule type="cellIs" dxfId="4677" priority="2278" operator="greaterThan">
      <formula>0.505</formula>
    </cfRule>
    <cfRule type="cellIs" dxfId="4676" priority="2279" operator="between">
      <formula>0.48</formula>
      <formula>0.5</formula>
    </cfRule>
    <cfRule type="cellIs" dxfId="4675" priority="2280" stopIfTrue="1" operator="between">
      <formula>0</formula>
      <formula>0.255</formula>
    </cfRule>
  </conditionalFormatting>
  <conditionalFormatting sqref="R30">
    <cfRule type="cellIs" dxfId="4674" priority="2271" operator="between">
      <formula>0.3751</formula>
      <formula>0.475</formula>
    </cfRule>
    <cfRule type="cellIs" dxfId="4673" priority="2272" operator="between">
      <formula>0.2551</formula>
      <formula>0.375</formula>
    </cfRule>
    <cfRule type="cellIs" dxfId="4672" priority="2273" operator="greaterThan">
      <formula>0.505</formula>
    </cfRule>
    <cfRule type="cellIs" dxfId="4671" priority="2274" operator="between">
      <formula>0.48</formula>
      <formula>0.5</formula>
    </cfRule>
    <cfRule type="cellIs" dxfId="4670" priority="2275" stopIfTrue="1" operator="between">
      <formula>0</formula>
      <formula>0.255</formula>
    </cfRule>
  </conditionalFormatting>
  <conditionalFormatting sqref="R31">
    <cfRule type="cellIs" dxfId="4669" priority="2266" operator="between">
      <formula>0.3751</formula>
      <formula>0.475</formula>
    </cfRule>
    <cfRule type="cellIs" dxfId="4668" priority="2267" operator="between">
      <formula>0.2551</formula>
      <formula>0.375</formula>
    </cfRule>
    <cfRule type="cellIs" dxfId="4667" priority="2268" operator="greaterThan">
      <formula>0.505</formula>
    </cfRule>
    <cfRule type="cellIs" dxfId="4666" priority="2269" operator="between">
      <formula>0.48</formula>
      <formula>0.5</formula>
    </cfRule>
    <cfRule type="cellIs" dxfId="4665" priority="2270" stopIfTrue="1" operator="between">
      <formula>0</formula>
      <formula>0.255</formula>
    </cfRule>
  </conditionalFormatting>
  <conditionalFormatting sqref="R32">
    <cfRule type="cellIs" dxfId="4664" priority="2261" operator="between">
      <formula>0.3751</formula>
      <formula>0.475</formula>
    </cfRule>
    <cfRule type="cellIs" dxfId="4663" priority="2262" operator="between">
      <formula>0.2551</formula>
      <formula>0.375</formula>
    </cfRule>
    <cfRule type="cellIs" dxfId="4662" priority="2263" operator="greaterThan">
      <formula>0.505</formula>
    </cfRule>
    <cfRule type="cellIs" dxfId="4661" priority="2264" operator="between">
      <formula>0.48</formula>
      <formula>0.5</formula>
    </cfRule>
    <cfRule type="cellIs" dxfId="4660" priority="2265" stopIfTrue="1" operator="between">
      <formula>0</formula>
      <formula>0.255</formula>
    </cfRule>
  </conditionalFormatting>
  <conditionalFormatting sqref="R33">
    <cfRule type="cellIs" dxfId="4659" priority="2256" operator="between">
      <formula>0.3751</formula>
      <formula>0.475</formula>
    </cfRule>
    <cfRule type="cellIs" dxfId="4658" priority="2257" operator="between">
      <formula>0.2551</formula>
      <formula>0.375</formula>
    </cfRule>
    <cfRule type="cellIs" dxfId="4657" priority="2258" operator="greaterThan">
      <formula>0.505</formula>
    </cfRule>
    <cfRule type="cellIs" dxfId="4656" priority="2259" operator="between">
      <formula>0.48</formula>
      <formula>0.5</formula>
    </cfRule>
    <cfRule type="cellIs" dxfId="4655" priority="2260" stopIfTrue="1" operator="between">
      <formula>0</formula>
      <formula>0.255</formula>
    </cfRule>
  </conditionalFormatting>
  <conditionalFormatting sqref="R34">
    <cfRule type="cellIs" dxfId="4654" priority="2251" operator="between">
      <formula>0.3751</formula>
      <formula>0.475</formula>
    </cfRule>
    <cfRule type="cellIs" dxfId="4653" priority="2252" operator="between">
      <formula>0.2551</formula>
      <formula>0.375</formula>
    </cfRule>
    <cfRule type="cellIs" dxfId="4652" priority="2253" operator="greaterThan">
      <formula>0.505</formula>
    </cfRule>
    <cfRule type="cellIs" dxfId="4651" priority="2254" operator="between">
      <formula>0.48</formula>
      <formula>0.5</formula>
    </cfRule>
    <cfRule type="cellIs" dxfId="4650" priority="2255" stopIfTrue="1" operator="between">
      <formula>0</formula>
      <formula>0.255</formula>
    </cfRule>
  </conditionalFormatting>
  <conditionalFormatting sqref="R35">
    <cfRule type="cellIs" dxfId="4649" priority="2246" operator="between">
      <formula>0.3751</formula>
      <formula>0.475</formula>
    </cfRule>
    <cfRule type="cellIs" dxfId="4648" priority="2247" operator="between">
      <formula>0.2551</formula>
      <formula>0.375</formula>
    </cfRule>
    <cfRule type="cellIs" dxfId="4647" priority="2248" operator="greaterThan">
      <formula>0.505</formula>
    </cfRule>
    <cfRule type="cellIs" dxfId="4646" priority="2249" operator="between">
      <formula>0.48</formula>
      <formula>0.5</formula>
    </cfRule>
    <cfRule type="cellIs" dxfId="4645" priority="2250" stopIfTrue="1" operator="between">
      <formula>0</formula>
      <formula>0.255</formula>
    </cfRule>
  </conditionalFormatting>
  <conditionalFormatting sqref="R36">
    <cfRule type="cellIs" dxfId="4644" priority="2241" operator="between">
      <formula>0.3751</formula>
      <formula>0.475</formula>
    </cfRule>
    <cfRule type="cellIs" dxfId="4643" priority="2242" operator="between">
      <formula>0.2551</formula>
      <formula>0.375</formula>
    </cfRule>
    <cfRule type="cellIs" dxfId="4642" priority="2243" operator="greaterThan">
      <formula>0.505</formula>
    </cfRule>
    <cfRule type="cellIs" dxfId="4641" priority="2244" operator="between">
      <formula>0.48</formula>
      <formula>0.5</formula>
    </cfRule>
    <cfRule type="cellIs" dxfId="4640" priority="2245" stopIfTrue="1" operator="between">
      <formula>0</formula>
      <formula>0.255</formula>
    </cfRule>
  </conditionalFormatting>
  <conditionalFormatting sqref="R38">
    <cfRule type="cellIs" dxfId="4639" priority="2236" operator="between">
      <formula>0.3751</formula>
      <formula>0.475</formula>
    </cfRule>
    <cfRule type="cellIs" dxfId="4638" priority="2237" operator="between">
      <formula>0.2551</formula>
      <formula>0.375</formula>
    </cfRule>
    <cfRule type="cellIs" dxfId="4637" priority="2238" operator="greaterThan">
      <formula>0.505</formula>
    </cfRule>
    <cfRule type="cellIs" dxfId="4636" priority="2239" operator="between">
      <formula>0.48</formula>
      <formula>0.5</formula>
    </cfRule>
    <cfRule type="cellIs" dxfId="4635" priority="2240" stopIfTrue="1" operator="between">
      <formula>0</formula>
      <formula>0.255</formula>
    </cfRule>
  </conditionalFormatting>
  <conditionalFormatting sqref="R39">
    <cfRule type="cellIs" dxfId="4634" priority="2231" operator="between">
      <formula>0.3751</formula>
      <formula>0.475</formula>
    </cfRule>
    <cfRule type="cellIs" dxfId="4633" priority="2232" operator="between">
      <formula>0.2551</formula>
      <formula>0.375</formula>
    </cfRule>
    <cfRule type="cellIs" dxfId="4632" priority="2233" operator="greaterThan">
      <formula>0.505</formula>
    </cfRule>
    <cfRule type="cellIs" dxfId="4631" priority="2234" operator="between">
      <formula>0.48</formula>
      <formula>0.5</formula>
    </cfRule>
    <cfRule type="cellIs" dxfId="4630" priority="2235" stopIfTrue="1" operator="between">
      <formula>0</formula>
      <formula>0.255</formula>
    </cfRule>
  </conditionalFormatting>
  <conditionalFormatting sqref="R40">
    <cfRule type="cellIs" dxfId="4629" priority="2226" operator="between">
      <formula>0.3751</formula>
      <formula>0.475</formula>
    </cfRule>
    <cfRule type="cellIs" dxfId="4628" priority="2227" operator="between">
      <formula>0.2551</formula>
      <formula>0.375</formula>
    </cfRule>
    <cfRule type="cellIs" dxfId="4627" priority="2228" operator="greaterThan">
      <formula>0.505</formula>
    </cfRule>
    <cfRule type="cellIs" dxfId="4626" priority="2229" operator="between">
      <formula>0.48</formula>
      <formula>0.5</formula>
    </cfRule>
    <cfRule type="cellIs" dxfId="4625" priority="2230" stopIfTrue="1" operator="between">
      <formula>0</formula>
      <formula>0.255</formula>
    </cfRule>
  </conditionalFormatting>
  <conditionalFormatting sqref="R41">
    <cfRule type="cellIs" dxfId="4624" priority="2221" operator="between">
      <formula>0.3751</formula>
      <formula>0.475</formula>
    </cfRule>
    <cfRule type="cellIs" dxfId="4623" priority="2222" operator="between">
      <formula>0.2551</formula>
      <formula>0.375</formula>
    </cfRule>
    <cfRule type="cellIs" dxfId="4622" priority="2223" operator="greaterThan">
      <formula>0.505</formula>
    </cfRule>
    <cfRule type="cellIs" dxfId="4621" priority="2224" operator="between">
      <formula>0.48</formula>
      <formula>0.5</formula>
    </cfRule>
    <cfRule type="cellIs" dxfId="4620" priority="2225" stopIfTrue="1" operator="between">
      <formula>0</formula>
      <formula>0.255</formula>
    </cfRule>
  </conditionalFormatting>
  <conditionalFormatting sqref="R42">
    <cfRule type="cellIs" dxfId="4619" priority="2216" operator="between">
      <formula>0.3751</formula>
      <formula>0.475</formula>
    </cfRule>
    <cfRule type="cellIs" dxfId="4618" priority="2217" operator="between">
      <formula>0.2551</formula>
      <formula>0.375</formula>
    </cfRule>
    <cfRule type="cellIs" dxfId="4617" priority="2218" operator="greaterThan">
      <formula>0.505</formula>
    </cfRule>
    <cfRule type="cellIs" dxfId="4616" priority="2219" operator="between">
      <formula>0.48</formula>
      <formula>0.5</formula>
    </cfRule>
    <cfRule type="cellIs" dxfId="4615" priority="2220" stopIfTrue="1" operator="between">
      <formula>0</formula>
      <formula>0.255</formula>
    </cfRule>
  </conditionalFormatting>
  <conditionalFormatting sqref="R43">
    <cfRule type="cellIs" dxfId="4614" priority="2211" operator="between">
      <formula>0.3751</formula>
      <formula>0.475</formula>
    </cfRule>
    <cfRule type="cellIs" dxfId="4613" priority="2212" operator="between">
      <formula>0.2551</formula>
      <formula>0.375</formula>
    </cfRule>
    <cfRule type="cellIs" dxfId="4612" priority="2213" operator="greaterThan">
      <formula>0.505</formula>
    </cfRule>
    <cfRule type="cellIs" dxfId="4611" priority="2214" operator="between">
      <formula>0.48</formula>
      <formula>0.5</formula>
    </cfRule>
    <cfRule type="cellIs" dxfId="4610" priority="2215" stopIfTrue="1" operator="between">
      <formula>0</formula>
      <formula>0.255</formula>
    </cfRule>
  </conditionalFormatting>
  <conditionalFormatting sqref="R44">
    <cfRule type="cellIs" dxfId="4609" priority="2206" operator="between">
      <formula>0.3751</formula>
      <formula>0.475</formula>
    </cfRule>
    <cfRule type="cellIs" dxfId="4608" priority="2207" operator="between">
      <formula>0.2551</formula>
      <formula>0.375</formula>
    </cfRule>
    <cfRule type="cellIs" dxfId="4607" priority="2208" operator="greaterThan">
      <formula>0.505</formula>
    </cfRule>
    <cfRule type="cellIs" dxfId="4606" priority="2209" operator="between">
      <formula>0.48</formula>
      <formula>0.5</formula>
    </cfRule>
    <cfRule type="cellIs" dxfId="4605" priority="2210" stopIfTrue="1" operator="between">
      <formula>0</formula>
      <formula>0.255</formula>
    </cfRule>
  </conditionalFormatting>
  <conditionalFormatting sqref="R45">
    <cfRule type="cellIs" dxfId="4604" priority="2201" operator="between">
      <formula>0.3751</formula>
      <formula>0.475</formula>
    </cfRule>
    <cfRule type="cellIs" dxfId="4603" priority="2202" operator="between">
      <formula>0.2551</formula>
      <formula>0.375</formula>
    </cfRule>
    <cfRule type="cellIs" dxfId="4602" priority="2203" operator="greaterThan">
      <formula>0.505</formula>
    </cfRule>
    <cfRule type="cellIs" dxfId="4601" priority="2204" operator="between">
      <formula>0.48</formula>
      <formula>0.5</formula>
    </cfRule>
    <cfRule type="cellIs" dxfId="4600" priority="2205" stopIfTrue="1" operator="between">
      <formula>0</formula>
      <formula>0.255</formula>
    </cfRule>
  </conditionalFormatting>
  <conditionalFormatting sqref="R46">
    <cfRule type="cellIs" dxfId="4599" priority="2196" operator="between">
      <formula>0.3751</formula>
      <formula>0.475</formula>
    </cfRule>
    <cfRule type="cellIs" dxfId="4598" priority="2197" operator="between">
      <formula>0.2551</formula>
      <formula>0.375</formula>
    </cfRule>
    <cfRule type="cellIs" dxfId="4597" priority="2198" operator="greaterThan">
      <formula>0.505</formula>
    </cfRule>
    <cfRule type="cellIs" dxfId="4596" priority="2199" operator="between">
      <formula>0.48</formula>
      <formula>0.5</formula>
    </cfRule>
    <cfRule type="cellIs" dxfId="4595" priority="2200" stopIfTrue="1" operator="between">
      <formula>0</formula>
      <formula>0.255</formula>
    </cfRule>
  </conditionalFormatting>
  <conditionalFormatting sqref="R47">
    <cfRule type="cellIs" dxfId="4594" priority="2191" operator="between">
      <formula>0.3751</formula>
      <formula>0.475</formula>
    </cfRule>
    <cfRule type="cellIs" dxfId="4593" priority="2192" operator="between">
      <formula>0.2551</formula>
      <formula>0.375</formula>
    </cfRule>
    <cfRule type="cellIs" dxfId="4592" priority="2193" operator="greaterThan">
      <formula>0.505</formula>
    </cfRule>
    <cfRule type="cellIs" dxfId="4591" priority="2194" operator="between">
      <formula>0.48</formula>
      <formula>0.5</formula>
    </cfRule>
    <cfRule type="cellIs" dxfId="4590" priority="2195" stopIfTrue="1" operator="between">
      <formula>0</formula>
      <formula>0.255</formula>
    </cfRule>
  </conditionalFormatting>
  <conditionalFormatting sqref="R48">
    <cfRule type="cellIs" dxfId="4589" priority="2186" operator="between">
      <formula>0.3751</formula>
      <formula>0.475</formula>
    </cfRule>
    <cfRule type="cellIs" dxfId="4588" priority="2187" operator="between">
      <formula>0.2551</formula>
      <formula>0.375</formula>
    </cfRule>
    <cfRule type="cellIs" dxfId="4587" priority="2188" operator="greaterThan">
      <formula>0.505</formula>
    </cfRule>
    <cfRule type="cellIs" dxfId="4586" priority="2189" operator="between">
      <formula>0.48</formula>
      <formula>0.5</formula>
    </cfRule>
    <cfRule type="cellIs" dxfId="4585" priority="2190" stopIfTrue="1" operator="between">
      <formula>0</formula>
      <formula>0.255</formula>
    </cfRule>
  </conditionalFormatting>
  <conditionalFormatting sqref="R49">
    <cfRule type="cellIs" dxfId="4584" priority="2181" operator="between">
      <formula>0.3751</formula>
      <formula>0.475</formula>
    </cfRule>
    <cfRule type="cellIs" dxfId="4583" priority="2182" operator="between">
      <formula>0.2551</formula>
      <formula>0.375</formula>
    </cfRule>
    <cfRule type="cellIs" dxfId="4582" priority="2183" operator="greaterThan">
      <formula>0.505</formula>
    </cfRule>
    <cfRule type="cellIs" dxfId="4581" priority="2184" operator="between">
      <formula>0.48</formula>
      <formula>0.5</formula>
    </cfRule>
    <cfRule type="cellIs" dxfId="4580" priority="2185" stopIfTrue="1" operator="between">
      <formula>0</formula>
      <formula>0.255</formula>
    </cfRule>
  </conditionalFormatting>
  <conditionalFormatting sqref="R50">
    <cfRule type="cellIs" dxfId="4579" priority="2176" operator="between">
      <formula>0.3751</formula>
      <formula>0.475</formula>
    </cfRule>
    <cfRule type="cellIs" dxfId="4578" priority="2177" operator="between">
      <formula>0.2551</formula>
      <formula>0.375</formula>
    </cfRule>
    <cfRule type="cellIs" dxfId="4577" priority="2178" operator="greaterThan">
      <formula>0.505</formula>
    </cfRule>
    <cfRule type="cellIs" dxfId="4576" priority="2179" operator="between">
      <formula>0.48</formula>
      <formula>0.5</formula>
    </cfRule>
    <cfRule type="cellIs" dxfId="4575" priority="2180" stopIfTrue="1" operator="between">
      <formula>0</formula>
      <formula>0.255</formula>
    </cfRule>
  </conditionalFormatting>
  <conditionalFormatting sqref="R51">
    <cfRule type="cellIs" dxfId="4574" priority="2171" operator="between">
      <formula>0.3751</formula>
      <formula>0.475</formula>
    </cfRule>
    <cfRule type="cellIs" dxfId="4573" priority="2172" operator="between">
      <formula>0.2551</formula>
      <formula>0.375</formula>
    </cfRule>
    <cfRule type="cellIs" dxfId="4572" priority="2173" operator="greaterThan">
      <formula>0.505</formula>
    </cfRule>
    <cfRule type="cellIs" dxfId="4571" priority="2174" operator="between">
      <formula>0.48</formula>
      <formula>0.5</formula>
    </cfRule>
    <cfRule type="cellIs" dxfId="4570" priority="2175" stopIfTrue="1" operator="between">
      <formula>0</formula>
      <formula>0.255</formula>
    </cfRule>
  </conditionalFormatting>
  <conditionalFormatting sqref="R52">
    <cfRule type="cellIs" dxfId="4569" priority="2166" operator="between">
      <formula>0.3751</formula>
      <formula>0.475</formula>
    </cfRule>
    <cfRule type="cellIs" dxfId="4568" priority="2167" operator="between">
      <formula>0.2551</formula>
      <formula>0.375</formula>
    </cfRule>
    <cfRule type="cellIs" dxfId="4567" priority="2168" operator="greaterThan">
      <formula>0.505</formula>
    </cfRule>
    <cfRule type="cellIs" dxfId="4566" priority="2169" operator="between">
      <formula>0.48</formula>
      <formula>0.5</formula>
    </cfRule>
    <cfRule type="cellIs" dxfId="4565" priority="2170" stopIfTrue="1" operator="between">
      <formula>0</formula>
      <formula>0.255</formula>
    </cfRule>
  </conditionalFormatting>
  <conditionalFormatting sqref="R54">
    <cfRule type="cellIs" dxfId="4564" priority="2161" operator="between">
      <formula>0.3751</formula>
      <formula>0.475</formula>
    </cfRule>
    <cfRule type="cellIs" dxfId="4563" priority="2162" operator="between">
      <formula>0.2551</formula>
      <formula>0.375</formula>
    </cfRule>
    <cfRule type="cellIs" dxfId="4562" priority="2163" operator="greaterThan">
      <formula>0.505</formula>
    </cfRule>
    <cfRule type="cellIs" dxfId="4561" priority="2164" operator="between">
      <formula>0.48</formula>
      <formula>0.5</formula>
    </cfRule>
    <cfRule type="cellIs" dxfId="4560" priority="2165" stopIfTrue="1" operator="between">
      <formula>0</formula>
      <formula>0.255</formula>
    </cfRule>
  </conditionalFormatting>
  <conditionalFormatting sqref="R53">
    <cfRule type="cellIs" dxfId="4559" priority="2156" operator="between">
      <formula>0.3751</formula>
      <formula>0.475</formula>
    </cfRule>
    <cfRule type="cellIs" dxfId="4558" priority="2157" operator="between">
      <formula>0.2551</formula>
      <formula>0.375</formula>
    </cfRule>
    <cfRule type="cellIs" dxfId="4557" priority="2158" operator="greaterThan">
      <formula>0.505</formula>
    </cfRule>
    <cfRule type="cellIs" dxfId="4556" priority="2159" operator="between">
      <formula>0.48</formula>
      <formula>0.5</formula>
    </cfRule>
    <cfRule type="cellIs" dxfId="4555" priority="2160" stopIfTrue="1" operator="between">
      <formula>0</formula>
      <formula>0.255</formula>
    </cfRule>
  </conditionalFormatting>
  <conditionalFormatting sqref="R55">
    <cfRule type="cellIs" dxfId="4554" priority="2151" operator="between">
      <formula>0.3751</formula>
      <formula>0.475</formula>
    </cfRule>
    <cfRule type="cellIs" dxfId="4553" priority="2152" operator="between">
      <formula>0.2551</formula>
      <formula>0.375</formula>
    </cfRule>
    <cfRule type="cellIs" dxfId="4552" priority="2153" operator="greaterThan">
      <formula>0.505</formula>
    </cfRule>
    <cfRule type="cellIs" dxfId="4551" priority="2154" operator="between">
      <formula>0.48</formula>
      <formula>0.5</formula>
    </cfRule>
    <cfRule type="cellIs" dxfId="4550" priority="2155" stopIfTrue="1" operator="between">
      <formula>0</formula>
      <formula>0.255</formula>
    </cfRule>
  </conditionalFormatting>
  <conditionalFormatting sqref="R56">
    <cfRule type="cellIs" dxfId="4549" priority="2146" operator="between">
      <formula>0.3751</formula>
      <formula>0.475</formula>
    </cfRule>
    <cfRule type="cellIs" dxfId="4548" priority="2147" operator="between">
      <formula>0.2551</formula>
      <formula>0.375</formula>
    </cfRule>
    <cfRule type="cellIs" dxfId="4547" priority="2148" operator="greaterThan">
      <formula>0.505</formula>
    </cfRule>
    <cfRule type="cellIs" dxfId="4546" priority="2149" operator="between">
      <formula>0.48</formula>
      <formula>0.5</formula>
    </cfRule>
    <cfRule type="cellIs" dxfId="4545" priority="2150" stopIfTrue="1" operator="between">
      <formula>0</formula>
      <formula>0.255</formula>
    </cfRule>
  </conditionalFormatting>
  <conditionalFormatting sqref="R57">
    <cfRule type="cellIs" dxfId="4544" priority="2141" operator="between">
      <formula>0.3751</formula>
      <formula>0.475</formula>
    </cfRule>
    <cfRule type="cellIs" dxfId="4543" priority="2142" operator="between">
      <formula>0.2551</formula>
      <formula>0.375</formula>
    </cfRule>
    <cfRule type="cellIs" dxfId="4542" priority="2143" operator="greaterThan">
      <formula>0.505</formula>
    </cfRule>
    <cfRule type="cellIs" dxfId="4541" priority="2144" operator="between">
      <formula>0.48</formula>
      <formula>0.5</formula>
    </cfRule>
    <cfRule type="cellIs" dxfId="4540" priority="2145" stopIfTrue="1" operator="between">
      <formula>0</formula>
      <formula>0.255</formula>
    </cfRule>
  </conditionalFormatting>
  <conditionalFormatting sqref="R58">
    <cfRule type="cellIs" dxfId="4539" priority="2136" operator="between">
      <formula>0.3751</formula>
      <formula>0.475</formula>
    </cfRule>
    <cfRule type="cellIs" dxfId="4538" priority="2137" operator="between">
      <formula>0.2551</formula>
      <formula>0.375</formula>
    </cfRule>
    <cfRule type="cellIs" dxfId="4537" priority="2138" operator="greaterThan">
      <formula>0.505</formula>
    </cfRule>
    <cfRule type="cellIs" dxfId="4536" priority="2139" operator="between">
      <formula>0.48</formula>
      <formula>0.5</formula>
    </cfRule>
    <cfRule type="cellIs" dxfId="4535" priority="2140" stopIfTrue="1" operator="between">
      <formula>0</formula>
      <formula>0.255</formula>
    </cfRule>
  </conditionalFormatting>
  <conditionalFormatting sqref="R60">
    <cfRule type="cellIs" dxfId="4534" priority="2126" operator="between">
      <formula>0.3751</formula>
      <formula>0.475</formula>
    </cfRule>
    <cfRule type="cellIs" dxfId="4533" priority="2127" operator="between">
      <formula>0.2551</formula>
      <formula>0.375</formula>
    </cfRule>
    <cfRule type="cellIs" dxfId="4532" priority="2128" operator="greaterThan">
      <formula>0.505</formula>
    </cfRule>
    <cfRule type="cellIs" dxfId="4531" priority="2129" operator="between">
      <formula>0.48</formula>
      <formula>0.5</formula>
    </cfRule>
    <cfRule type="cellIs" dxfId="4530" priority="2130" stopIfTrue="1" operator="between">
      <formula>0</formula>
      <formula>0.255</formula>
    </cfRule>
  </conditionalFormatting>
  <conditionalFormatting sqref="R61">
    <cfRule type="cellIs" dxfId="4529" priority="2121" operator="between">
      <formula>0.3751</formula>
      <formula>0.475</formula>
    </cfRule>
    <cfRule type="cellIs" dxfId="4528" priority="2122" operator="between">
      <formula>0.2551</formula>
      <formula>0.375</formula>
    </cfRule>
    <cfRule type="cellIs" dxfId="4527" priority="2123" operator="greaterThan">
      <formula>0.505</formula>
    </cfRule>
    <cfRule type="cellIs" dxfId="4526" priority="2124" operator="between">
      <formula>0.48</formula>
      <formula>0.5</formula>
    </cfRule>
    <cfRule type="cellIs" dxfId="4525" priority="2125" stopIfTrue="1" operator="between">
      <formula>0</formula>
      <formula>0.255</formula>
    </cfRule>
  </conditionalFormatting>
  <conditionalFormatting sqref="R62">
    <cfRule type="cellIs" dxfId="4524" priority="2116" operator="between">
      <formula>0.3751</formula>
      <formula>0.475</formula>
    </cfRule>
    <cfRule type="cellIs" dxfId="4523" priority="2117" operator="between">
      <formula>0.2551</formula>
      <formula>0.375</formula>
    </cfRule>
    <cfRule type="cellIs" dxfId="4522" priority="2118" operator="greaterThan">
      <formula>0.505</formula>
    </cfRule>
    <cfRule type="cellIs" dxfId="4521" priority="2119" operator="between">
      <formula>0.48</formula>
      <formula>0.5</formula>
    </cfRule>
    <cfRule type="cellIs" dxfId="4520" priority="2120" stopIfTrue="1" operator="between">
      <formula>0</formula>
      <formula>0.255</formula>
    </cfRule>
  </conditionalFormatting>
  <conditionalFormatting sqref="R63">
    <cfRule type="cellIs" dxfId="4519" priority="2111" operator="between">
      <formula>0.3751</formula>
      <formula>0.475</formula>
    </cfRule>
    <cfRule type="cellIs" dxfId="4518" priority="2112" operator="between">
      <formula>0.2551</formula>
      <formula>0.375</formula>
    </cfRule>
    <cfRule type="cellIs" dxfId="4517" priority="2113" operator="greaterThan">
      <formula>0.505</formula>
    </cfRule>
    <cfRule type="cellIs" dxfId="4516" priority="2114" operator="between">
      <formula>0.48</formula>
      <formula>0.5</formula>
    </cfRule>
    <cfRule type="cellIs" dxfId="4515" priority="2115" stopIfTrue="1" operator="between">
      <formula>0</formula>
      <formula>0.255</formula>
    </cfRule>
  </conditionalFormatting>
  <conditionalFormatting sqref="R64">
    <cfRule type="cellIs" dxfId="4514" priority="2106" operator="between">
      <formula>0.3751</formula>
      <formula>0.475</formula>
    </cfRule>
    <cfRule type="cellIs" dxfId="4513" priority="2107" operator="between">
      <formula>0.2551</formula>
      <formula>0.375</formula>
    </cfRule>
    <cfRule type="cellIs" dxfId="4512" priority="2108" operator="greaterThan">
      <formula>0.505</formula>
    </cfRule>
    <cfRule type="cellIs" dxfId="4511" priority="2109" operator="between">
      <formula>0.48</formula>
      <formula>0.5</formula>
    </cfRule>
    <cfRule type="cellIs" dxfId="4510" priority="2110" stopIfTrue="1" operator="between">
      <formula>0</formula>
      <formula>0.255</formula>
    </cfRule>
  </conditionalFormatting>
  <conditionalFormatting sqref="R66">
    <cfRule type="cellIs" dxfId="4509" priority="2101" operator="between">
      <formula>0.3751</formula>
      <formula>0.475</formula>
    </cfRule>
    <cfRule type="cellIs" dxfId="4508" priority="2102" operator="between">
      <formula>0.2551</formula>
      <formula>0.375</formula>
    </cfRule>
    <cfRule type="cellIs" dxfId="4507" priority="2103" operator="greaterThan">
      <formula>0.505</formula>
    </cfRule>
    <cfRule type="cellIs" dxfId="4506" priority="2104" operator="between">
      <formula>0.48</formula>
      <formula>0.5</formula>
    </cfRule>
    <cfRule type="cellIs" dxfId="4505" priority="2105" stopIfTrue="1" operator="between">
      <formula>0</formula>
      <formula>0.255</formula>
    </cfRule>
  </conditionalFormatting>
  <conditionalFormatting sqref="R67">
    <cfRule type="cellIs" dxfId="4504" priority="2096" operator="between">
      <formula>0.3751</formula>
      <formula>0.475</formula>
    </cfRule>
    <cfRule type="cellIs" dxfId="4503" priority="2097" operator="between">
      <formula>0.2551</formula>
      <formula>0.375</formula>
    </cfRule>
    <cfRule type="cellIs" dxfId="4502" priority="2098" operator="greaterThan">
      <formula>0.505</formula>
    </cfRule>
    <cfRule type="cellIs" dxfId="4501" priority="2099" operator="between">
      <formula>0.48</formula>
      <formula>0.5</formula>
    </cfRule>
    <cfRule type="cellIs" dxfId="4500" priority="2100" stopIfTrue="1" operator="between">
      <formula>0</formula>
      <formula>0.255</formula>
    </cfRule>
  </conditionalFormatting>
  <conditionalFormatting sqref="R68">
    <cfRule type="cellIs" dxfId="4499" priority="2091" operator="between">
      <formula>0.3751</formula>
      <formula>0.475</formula>
    </cfRule>
    <cfRule type="cellIs" dxfId="4498" priority="2092" operator="between">
      <formula>0.2551</formula>
      <formula>0.375</formula>
    </cfRule>
    <cfRule type="cellIs" dxfId="4497" priority="2093" operator="greaterThan">
      <formula>0.505</formula>
    </cfRule>
    <cfRule type="cellIs" dxfId="4496" priority="2094" operator="between">
      <formula>0.48</formula>
      <formula>0.5</formula>
    </cfRule>
    <cfRule type="cellIs" dxfId="4495" priority="2095" stopIfTrue="1" operator="between">
      <formula>0</formula>
      <formula>0.255</formula>
    </cfRule>
  </conditionalFormatting>
  <conditionalFormatting sqref="R69">
    <cfRule type="cellIs" dxfId="4494" priority="2086" operator="between">
      <formula>0.3751</formula>
      <formula>0.475</formula>
    </cfRule>
    <cfRule type="cellIs" dxfId="4493" priority="2087" operator="between">
      <formula>0.2551</formula>
      <formula>0.375</formula>
    </cfRule>
    <cfRule type="cellIs" dxfId="4492" priority="2088" operator="greaterThan">
      <formula>0.505</formula>
    </cfRule>
    <cfRule type="cellIs" dxfId="4491" priority="2089" operator="between">
      <formula>0.48</formula>
      <formula>0.5</formula>
    </cfRule>
    <cfRule type="cellIs" dxfId="4490" priority="2090" stopIfTrue="1" operator="between">
      <formula>0</formula>
      <formula>0.255</formula>
    </cfRule>
  </conditionalFormatting>
  <conditionalFormatting sqref="R70">
    <cfRule type="cellIs" dxfId="4489" priority="2081" operator="between">
      <formula>0.3751</formula>
      <formula>0.475</formula>
    </cfRule>
    <cfRule type="cellIs" dxfId="4488" priority="2082" operator="between">
      <formula>0.2551</formula>
      <formula>0.375</formula>
    </cfRule>
    <cfRule type="cellIs" dxfId="4487" priority="2083" operator="greaterThan">
      <formula>0.505</formula>
    </cfRule>
    <cfRule type="cellIs" dxfId="4486" priority="2084" operator="between">
      <formula>0.48</formula>
      <formula>0.5</formula>
    </cfRule>
    <cfRule type="cellIs" dxfId="4485" priority="2085" stopIfTrue="1" operator="between">
      <formula>0</formula>
      <formula>0.255</formula>
    </cfRule>
  </conditionalFormatting>
  <conditionalFormatting sqref="R71">
    <cfRule type="cellIs" dxfId="4484" priority="2076" operator="between">
      <formula>0.3751</formula>
      <formula>0.475</formula>
    </cfRule>
    <cfRule type="cellIs" dxfId="4483" priority="2077" operator="between">
      <formula>0.2551</formula>
      <formula>0.375</formula>
    </cfRule>
    <cfRule type="cellIs" dxfId="4482" priority="2078" operator="greaterThan">
      <formula>0.505</formula>
    </cfRule>
    <cfRule type="cellIs" dxfId="4481" priority="2079" operator="between">
      <formula>0.48</formula>
      <formula>0.5</formula>
    </cfRule>
    <cfRule type="cellIs" dxfId="4480" priority="2080" stopIfTrue="1" operator="between">
      <formula>0</formula>
      <formula>0.255</formula>
    </cfRule>
  </conditionalFormatting>
  <conditionalFormatting sqref="R72">
    <cfRule type="cellIs" dxfId="4479" priority="2071" operator="between">
      <formula>0.3751</formula>
      <formula>0.475</formula>
    </cfRule>
    <cfRule type="cellIs" dxfId="4478" priority="2072" operator="between">
      <formula>0.2551</formula>
      <formula>0.375</formula>
    </cfRule>
    <cfRule type="cellIs" dxfId="4477" priority="2073" operator="greaterThan">
      <formula>0.505</formula>
    </cfRule>
    <cfRule type="cellIs" dxfId="4476" priority="2074" operator="between">
      <formula>0.48</formula>
      <formula>0.5</formula>
    </cfRule>
    <cfRule type="cellIs" dxfId="4475" priority="2075" stopIfTrue="1" operator="between">
      <formula>0</formula>
      <formula>0.255</formula>
    </cfRule>
  </conditionalFormatting>
  <conditionalFormatting sqref="R73">
    <cfRule type="cellIs" dxfId="4474" priority="2066" operator="between">
      <formula>0.3751</formula>
      <formula>0.475</formula>
    </cfRule>
    <cfRule type="cellIs" dxfId="4473" priority="2067" operator="between">
      <formula>0.2551</formula>
      <formula>0.375</formula>
    </cfRule>
    <cfRule type="cellIs" dxfId="4472" priority="2068" operator="greaterThan">
      <formula>0.505</formula>
    </cfRule>
    <cfRule type="cellIs" dxfId="4471" priority="2069" operator="between">
      <formula>0.48</formula>
      <formula>0.5</formula>
    </cfRule>
    <cfRule type="cellIs" dxfId="4470" priority="2070" stopIfTrue="1" operator="between">
      <formula>0</formula>
      <formula>0.255</formula>
    </cfRule>
  </conditionalFormatting>
  <conditionalFormatting sqref="R74">
    <cfRule type="cellIs" dxfId="4469" priority="2061" operator="between">
      <formula>0.3751</formula>
      <formula>0.475</formula>
    </cfRule>
    <cfRule type="cellIs" dxfId="4468" priority="2062" operator="between">
      <formula>0.2551</formula>
      <formula>0.375</formula>
    </cfRule>
    <cfRule type="cellIs" dxfId="4467" priority="2063" operator="greaterThan">
      <formula>0.505</formula>
    </cfRule>
    <cfRule type="cellIs" dxfId="4466" priority="2064" operator="between">
      <formula>0.48</formula>
      <formula>0.5</formula>
    </cfRule>
    <cfRule type="cellIs" dxfId="4465" priority="2065" stopIfTrue="1" operator="between">
      <formula>0</formula>
      <formula>0.255</formula>
    </cfRule>
  </conditionalFormatting>
  <conditionalFormatting sqref="R75">
    <cfRule type="cellIs" dxfId="4464" priority="2056" operator="between">
      <formula>0.3751</formula>
      <formula>0.475</formula>
    </cfRule>
    <cfRule type="cellIs" dxfId="4463" priority="2057" operator="between">
      <formula>0.2551</formula>
      <formula>0.375</formula>
    </cfRule>
    <cfRule type="cellIs" dxfId="4462" priority="2058" operator="greaterThan">
      <formula>0.505</formula>
    </cfRule>
    <cfRule type="cellIs" dxfId="4461" priority="2059" operator="between">
      <formula>0.48</formula>
      <formula>0.5</formula>
    </cfRule>
    <cfRule type="cellIs" dxfId="4460" priority="2060" stopIfTrue="1" operator="between">
      <formula>0</formula>
      <formula>0.255</formula>
    </cfRule>
  </conditionalFormatting>
  <conditionalFormatting sqref="R76">
    <cfRule type="cellIs" dxfId="4459" priority="2051" operator="between">
      <formula>0.3751</formula>
      <formula>0.475</formula>
    </cfRule>
    <cfRule type="cellIs" dxfId="4458" priority="2052" operator="between">
      <formula>0.2551</formula>
      <formula>0.375</formula>
    </cfRule>
    <cfRule type="cellIs" dxfId="4457" priority="2053" operator="greaterThan">
      <formula>0.505</formula>
    </cfRule>
    <cfRule type="cellIs" dxfId="4456" priority="2054" operator="between">
      <formula>0.48</formula>
      <formula>0.5</formula>
    </cfRule>
    <cfRule type="cellIs" dxfId="4455" priority="2055" stopIfTrue="1" operator="between">
      <formula>0</formula>
      <formula>0.255</formula>
    </cfRule>
  </conditionalFormatting>
  <conditionalFormatting sqref="R78">
    <cfRule type="cellIs" dxfId="4454" priority="2046" operator="between">
      <formula>0.3751</formula>
      <formula>0.475</formula>
    </cfRule>
    <cfRule type="cellIs" dxfId="4453" priority="2047" operator="between">
      <formula>0.2551</formula>
      <formula>0.375</formula>
    </cfRule>
    <cfRule type="cellIs" dxfId="4452" priority="2048" operator="greaterThan">
      <formula>0.505</formula>
    </cfRule>
    <cfRule type="cellIs" dxfId="4451" priority="2049" operator="between">
      <formula>0.48</formula>
      <formula>0.5</formula>
    </cfRule>
    <cfRule type="cellIs" dxfId="4450" priority="2050" stopIfTrue="1" operator="between">
      <formula>0</formula>
      <formula>0.255</formula>
    </cfRule>
  </conditionalFormatting>
  <conditionalFormatting sqref="R79">
    <cfRule type="cellIs" dxfId="4449" priority="2041" operator="between">
      <formula>0.3751</formula>
      <formula>0.475</formula>
    </cfRule>
    <cfRule type="cellIs" dxfId="4448" priority="2042" operator="between">
      <formula>0.2551</formula>
      <formula>0.375</formula>
    </cfRule>
    <cfRule type="cellIs" dxfId="4447" priority="2043" operator="greaterThan">
      <formula>0.505</formula>
    </cfRule>
    <cfRule type="cellIs" dxfId="4446" priority="2044" operator="between">
      <formula>0.48</formula>
      <formula>0.5</formula>
    </cfRule>
    <cfRule type="cellIs" dxfId="4445" priority="2045" stopIfTrue="1" operator="between">
      <formula>0</formula>
      <formula>0.255</formula>
    </cfRule>
  </conditionalFormatting>
  <conditionalFormatting sqref="R80">
    <cfRule type="cellIs" dxfId="4444" priority="2036" operator="between">
      <formula>0.3751</formula>
      <formula>0.475</formula>
    </cfRule>
    <cfRule type="cellIs" dxfId="4443" priority="2037" operator="between">
      <formula>0.2551</formula>
      <formula>0.375</formula>
    </cfRule>
    <cfRule type="cellIs" dxfId="4442" priority="2038" operator="greaterThan">
      <formula>0.505</formula>
    </cfRule>
    <cfRule type="cellIs" dxfId="4441" priority="2039" operator="between">
      <formula>0.48</formula>
      <formula>0.5</formula>
    </cfRule>
    <cfRule type="cellIs" dxfId="4440" priority="2040" stopIfTrue="1" operator="between">
      <formula>0</formula>
      <formula>0.255</formula>
    </cfRule>
  </conditionalFormatting>
  <conditionalFormatting sqref="R81">
    <cfRule type="cellIs" dxfId="4439" priority="2031" operator="between">
      <formula>0.3751</formula>
      <formula>0.475</formula>
    </cfRule>
    <cfRule type="cellIs" dxfId="4438" priority="2032" operator="between">
      <formula>0.2551</formula>
      <formula>0.375</formula>
    </cfRule>
    <cfRule type="cellIs" dxfId="4437" priority="2033" operator="greaterThan">
      <formula>0.505</formula>
    </cfRule>
    <cfRule type="cellIs" dxfId="4436" priority="2034" operator="between">
      <formula>0.48</formula>
      <formula>0.5</formula>
    </cfRule>
    <cfRule type="cellIs" dxfId="4435" priority="2035" stopIfTrue="1" operator="between">
      <formula>0</formula>
      <formula>0.255</formula>
    </cfRule>
  </conditionalFormatting>
  <conditionalFormatting sqref="R82">
    <cfRule type="cellIs" dxfId="4434" priority="2026" operator="between">
      <formula>0.3751</formula>
      <formula>0.475</formula>
    </cfRule>
    <cfRule type="cellIs" dxfId="4433" priority="2027" operator="between">
      <formula>0.2551</formula>
      <formula>0.375</formula>
    </cfRule>
    <cfRule type="cellIs" dxfId="4432" priority="2028" operator="greaterThan">
      <formula>0.505</formula>
    </cfRule>
    <cfRule type="cellIs" dxfId="4431" priority="2029" operator="between">
      <formula>0.48</formula>
      <formula>0.5</formula>
    </cfRule>
    <cfRule type="cellIs" dxfId="4430" priority="2030" stopIfTrue="1" operator="between">
      <formula>0</formula>
      <formula>0.255</formula>
    </cfRule>
  </conditionalFormatting>
  <conditionalFormatting sqref="R83">
    <cfRule type="cellIs" dxfId="4429" priority="2021" operator="between">
      <formula>0.3751</formula>
      <formula>0.475</formula>
    </cfRule>
    <cfRule type="cellIs" dxfId="4428" priority="2022" operator="between">
      <formula>0.2551</formula>
      <formula>0.375</formula>
    </cfRule>
    <cfRule type="cellIs" dxfId="4427" priority="2023" operator="greaterThan">
      <formula>0.505</formula>
    </cfRule>
    <cfRule type="cellIs" dxfId="4426" priority="2024" operator="between">
      <formula>0.48</formula>
      <formula>0.5</formula>
    </cfRule>
    <cfRule type="cellIs" dxfId="4425" priority="2025" stopIfTrue="1" operator="between">
      <formula>0</formula>
      <formula>0.255</formula>
    </cfRule>
  </conditionalFormatting>
  <conditionalFormatting sqref="R84">
    <cfRule type="cellIs" dxfId="4424" priority="2016" operator="between">
      <formula>0.3751</formula>
      <formula>0.475</formula>
    </cfRule>
    <cfRule type="cellIs" dxfId="4423" priority="2017" operator="between">
      <formula>0.2551</formula>
      <formula>0.375</formula>
    </cfRule>
    <cfRule type="cellIs" dxfId="4422" priority="2018" operator="greaterThan">
      <formula>0.505</formula>
    </cfRule>
    <cfRule type="cellIs" dxfId="4421" priority="2019" operator="between">
      <formula>0.48</formula>
      <formula>0.5</formula>
    </cfRule>
    <cfRule type="cellIs" dxfId="4420" priority="2020" stopIfTrue="1" operator="between">
      <formula>0</formula>
      <formula>0.255</formula>
    </cfRule>
  </conditionalFormatting>
  <conditionalFormatting sqref="R85">
    <cfRule type="cellIs" dxfId="4419" priority="2011" operator="between">
      <formula>0.3751</formula>
      <formula>0.475</formula>
    </cfRule>
    <cfRule type="cellIs" dxfId="4418" priority="2012" operator="between">
      <formula>0.2551</formula>
      <formula>0.375</formula>
    </cfRule>
    <cfRule type="cellIs" dxfId="4417" priority="2013" operator="greaterThan">
      <formula>0.505</formula>
    </cfRule>
    <cfRule type="cellIs" dxfId="4416" priority="2014" operator="between">
      <formula>0.48</formula>
      <formula>0.5</formula>
    </cfRule>
    <cfRule type="cellIs" dxfId="4415" priority="2015" stopIfTrue="1" operator="between">
      <formula>0</formula>
      <formula>0.255</formula>
    </cfRule>
  </conditionalFormatting>
  <conditionalFormatting sqref="R86">
    <cfRule type="cellIs" dxfId="4414" priority="2006" operator="between">
      <formula>0.3751</formula>
      <formula>0.475</formula>
    </cfRule>
    <cfRule type="cellIs" dxfId="4413" priority="2007" operator="between">
      <formula>0.2551</formula>
      <formula>0.375</formula>
    </cfRule>
    <cfRule type="cellIs" dxfId="4412" priority="2008" operator="greaterThan">
      <formula>0.505</formula>
    </cfRule>
    <cfRule type="cellIs" dxfId="4411" priority="2009" operator="between">
      <formula>0.48</formula>
      <formula>0.5</formula>
    </cfRule>
    <cfRule type="cellIs" dxfId="4410" priority="2010" stopIfTrue="1" operator="between">
      <formula>0</formula>
      <formula>0.255</formula>
    </cfRule>
  </conditionalFormatting>
  <conditionalFormatting sqref="R90">
    <cfRule type="cellIs" dxfId="4409" priority="2001" operator="between">
      <formula>0.3751</formula>
      <formula>0.475</formula>
    </cfRule>
    <cfRule type="cellIs" dxfId="4408" priority="2002" operator="between">
      <formula>0.2551</formula>
      <formula>0.375</formula>
    </cfRule>
    <cfRule type="cellIs" dxfId="4407" priority="2003" operator="greaterThan">
      <formula>0.505</formula>
    </cfRule>
    <cfRule type="cellIs" dxfId="4406" priority="2004" operator="between">
      <formula>0.48</formula>
      <formula>0.5</formula>
    </cfRule>
    <cfRule type="cellIs" dxfId="4405" priority="2005" stopIfTrue="1" operator="between">
      <formula>0</formula>
      <formula>0.255</formula>
    </cfRule>
  </conditionalFormatting>
  <conditionalFormatting sqref="R91">
    <cfRule type="cellIs" dxfId="4404" priority="1996" operator="between">
      <formula>0.3751</formula>
      <formula>0.475</formula>
    </cfRule>
    <cfRule type="cellIs" dxfId="4403" priority="1997" operator="between">
      <formula>0.2551</formula>
      <formula>0.375</formula>
    </cfRule>
    <cfRule type="cellIs" dxfId="4402" priority="1998" operator="greaterThan">
      <formula>0.505</formula>
    </cfRule>
    <cfRule type="cellIs" dxfId="4401" priority="1999" operator="between">
      <formula>0.48</formula>
      <formula>0.5</formula>
    </cfRule>
    <cfRule type="cellIs" dxfId="4400" priority="2000" stopIfTrue="1" operator="between">
      <formula>0</formula>
      <formula>0.255</formula>
    </cfRule>
  </conditionalFormatting>
  <conditionalFormatting sqref="R94">
    <cfRule type="cellIs" dxfId="4399" priority="1991" operator="between">
      <formula>0.3751</formula>
      <formula>0.475</formula>
    </cfRule>
    <cfRule type="cellIs" dxfId="4398" priority="1992" operator="between">
      <formula>0.2551</formula>
      <formula>0.375</formula>
    </cfRule>
    <cfRule type="cellIs" dxfId="4397" priority="1993" operator="greaterThan">
      <formula>0.505</formula>
    </cfRule>
    <cfRule type="cellIs" dxfId="4396" priority="1994" operator="between">
      <formula>0.48</formula>
      <formula>0.5</formula>
    </cfRule>
    <cfRule type="cellIs" dxfId="4395" priority="1995" stopIfTrue="1" operator="between">
      <formula>0</formula>
      <formula>0.255</formula>
    </cfRule>
  </conditionalFormatting>
  <conditionalFormatting sqref="R95">
    <cfRule type="cellIs" dxfId="4394" priority="1986" operator="between">
      <formula>0.3751</formula>
      <formula>0.475</formula>
    </cfRule>
    <cfRule type="cellIs" dxfId="4393" priority="1987" operator="between">
      <formula>0.2551</formula>
      <formula>0.375</formula>
    </cfRule>
    <cfRule type="cellIs" dxfId="4392" priority="1988" operator="greaterThan">
      <formula>0.505</formula>
    </cfRule>
    <cfRule type="cellIs" dxfId="4391" priority="1989" operator="between">
      <formula>0.48</formula>
      <formula>0.5</formula>
    </cfRule>
    <cfRule type="cellIs" dxfId="4390" priority="1990" stopIfTrue="1" operator="between">
      <formula>0</formula>
      <formula>0.255</formula>
    </cfRule>
  </conditionalFormatting>
  <conditionalFormatting sqref="R96">
    <cfRule type="cellIs" dxfId="4389" priority="1981" operator="between">
      <formula>0.3751</formula>
      <formula>0.475</formula>
    </cfRule>
    <cfRule type="cellIs" dxfId="4388" priority="1982" operator="between">
      <formula>0.2551</formula>
      <formula>0.375</formula>
    </cfRule>
    <cfRule type="cellIs" dxfId="4387" priority="1983" operator="greaterThan">
      <formula>0.505</formula>
    </cfRule>
    <cfRule type="cellIs" dxfId="4386" priority="1984" operator="between">
      <formula>0.48</formula>
      <formula>0.5</formula>
    </cfRule>
    <cfRule type="cellIs" dxfId="4385" priority="1985" stopIfTrue="1" operator="between">
      <formula>0</formula>
      <formula>0.255</formula>
    </cfRule>
  </conditionalFormatting>
  <conditionalFormatting sqref="R97">
    <cfRule type="cellIs" dxfId="4384" priority="1976" operator="between">
      <formula>0.3751</formula>
      <formula>0.475</formula>
    </cfRule>
    <cfRule type="cellIs" dxfId="4383" priority="1977" operator="between">
      <formula>0.2551</formula>
      <formula>0.375</formula>
    </cfRule>
    <cfRule type="cellIs" dxfId="4382" priority="1978" operator="greaterThan">
      <formula>0.505</formula>
    </cfRule>
    <cfRule type="cellIs" dxfId="4381" priority="1979" operator="between">
      <formula>0.48</formula>
      <formula>0.5</formula>
    </cfRule>
    <cfRule type="cellIs" dxfId="4380" priority="1980" stopIfTrue="1" operator="between">
      <formula>0</formula>
      <formula>0.255</formula>
    </cfRule>
  </conditionalFormatting>
  <conditionalFormatting sqref="R99">
    <cfRule type="cellIs" dxfId="4379" priority="1971" operator="between">
      <formula>0.3751</formula>
      <formula>0.475</formula>
    </cfRule>
    <cfRule type="cellIs" dxfId="4378" priority="1972" operator="between">
      <formula>0.2551</formula>
      <formula>0.375</formula>
    </cfRule>
    <cfRule type="cellIs" dxfId="4377" priority="1973" operator="greaterThan">
      <formula>0.505</formula>
    </cfRule>
    <cfRule type="cellIs" dxfId="4376" priority="1974" operator="between">
      <formula>0.48</formula>
      <formula>0.5</formula>
    </cfRule>
    <cfRule type="cellIs" dxfId="4375" priority="1975" stopIfTrue="1" operator="between">
      <formula>0</formula>
      <formula>0.255</formula>
    </cfRule>
  </conditionalFormatting>
  <conditionalFormatting sqref="R100">
    <cfRule type="cellIs" dxfId="4374" priority="1966" operator="between">
      <formula>0.3751</formula>
      <formula>0.475</formula>
    </cfRule>
    <cfRule type="cellIs" dxfId="4373" priority="1967" operator="between">
      <formula>0.2551</formula>
      <formula>0.375</formula>
    </cfRule>
    <cfRule type="cellIs" dxfId="4372" priority="1968" operator="greaterThan">
      <formula>0.505</formula>
    </cfRule>
    <cfRule type="cellIs" dxfId="4371" priority="1969" operator="between">
      <formula>0.48</formula>
      <formula>0.5</formula>
    </cfRule>
    <cfRule type="cellIs" dxfId="4370" priority="1970" stopIfTrue="1" operator="between">
      <formula>0</formula>
      <formula>0.255</formula>
    </cfRule>
  </conditionalFormatting>
  <conditionalFormatting sqref="R101">
    <cfRule type="cellIs" dxfId="4369" priority="1961" operator="between">
      <formula>0.3751</formula>
      <formula>0.475</formula>
    </cfRule>
    <cfRule type="cellIs" dxfId="4368" priority="1962" operator="between">
      <formula>0.2551</formula>
      <formula>0.375</formula>
    </cfRule>
    <cfRule type="cellIs" dxfId="4367" priority="1963" operator="greaterThan">
      <formula>0.505</formula>
    </cfRule>
    <cfRule type="cellIs" dxfId="4366" priority="1964" operator="between">
      <formula>0.48</formula>
      <formula>0.5</formula>
    </cfRule>
    <cfRule type="cellIs" dxfId="4365" priority="1965" stopIfTrue="1" operator="between">
      <formula>0</formula>
      <formula>0.255</formula>
    </cfRule>
  </conditionalFormatting>
  <conditionalFormatting sqref="R102">
    <cfRule type="cellIs" dxfId="4364" priority="1956" operator="between">
      <formula>0.3751</formula>
      <formula>0.475</formula>
    </cfRule>
    <cfRule type="cellIs" dxfId="4363" priority="1957" operator="between">
      <formula>0.2551</formula>
      <formula>0.375</formula>
    </cfRule>
    <cfRule type="cellIs" dxfId="4362" priority="1958" operator="greaterThan">
      <formula>0.505</formula>
    </cfRule>
    <cfRule type="cellIs" dxfId="4361" priority="1959" operator="between">
      <formula>0.48</formula>
      <formula>0.5</formula>
    </cfRule>
    <cfRule type="cellIs" dxfId="4360" priority="1960" stopIfTrue="1" operator="between">
      <formula>0</formula>
      <formula>0.255</formula>
    </cfRule>
  </conditionalFormatting>
  <conditionalFormatting sqref="R103">
    <cfRule type="cellIs" dxfId="4359" priority="1951" operator="between">
      <formula>0.3751</formula>
      <formula>0.475</formula>
    </cfRule>
    <cfRule type="cellIs" dxfId="4358" priority="1952" operator="between">
      <formula>0.2551</formula>
      <formula>0.375</formula>
    </cfRule>
    <cfRule type="cellIs" dxfId="4357" priority="1953" operator="greaterThan">
      <formula>0.505</formula>
    </cfRule>
    <cfRule type="cellIs" dxfId="4356" priority="1954" operator="between">
      <formula>0.48</formula>
      <formula>0.5</formula>
    </cfRule>
    <cfRule type="cellIs" dxfId="4355" priority="1955" stopIfTrue="1" operator="between">
      <formula>0</formula>
      <formula>0.255</formula>
    </cfRule>
  </conditionalFormatting>
  <conditionalFormatting sqref="R104">
    <cfRule type="cellIs" dxfId="4354" priority="1946" operator="between">
      <formula>0.3751</formula>
      <formula>0.475</formula>
    </cfRule>
    <cfRule type="cellIs" dxfId="4353" priority="1947" operator="between">
      <formula>0.2551</formula>
      <formula>0.375</formula>
    </cfRule>
    <cfRule type="cellIs" dxfId="4352" priority="1948" operator="greaterThan">
      <formula>0.505</formula>
    </cfRule>
    <cfRule type="cellIs" dxfId="4351" priority="1949" operator="between">
      <formula>0.48</formula>
      <formula>0.5</formula>
    </cfRule>
    <cfRule type="cellIs" dxfId="4350" priority="1950" stopIfTrue="1" operator="between">
      <formula>0</formula>
      <formula>0.255</formula>
    </cfRule>
  </conditionalFormatting>
  <conditionalFormatting sqref="R105">
    <cfRule type="cellIs" dxfId="4349" priority="1941" operator="between">
      <formula>0.3751</formula>
      <formula>0.475</formula>
    </cfRule>
    <cfRule type="cellIs" dxfId="4348" priority="1942" operator="between">
      <formula>0.2551</formula>
      <formula>0.375</formula>
    </cfRule>
    <cfRule type="cellIs" dxfId="4347" priority="1943" operator="greaterThan">
      <formula>0.505</formula>
    </cfRule>
    <cfRule type="cellIs" dxfId="4346" priority="1944" operator="between">
      <formula>0.48</formula>
      <formula>0.5</formula>
    </cfRule>
    <cfRule type="cellIs" dxfId="4345" priority="1945" stopIfTrue="1" operator="between">
      <formula>0</formula>
      <formula>0.255</formula>
    </cfRule>
  </conditionalFormatting>
  <conditionalFormatting sqref="R108">
    <cfRule type="cellIs" dxfId="4344" priority="1936" operator="between">
      <formula>0.3751</formula>
      <formula>0.475</formula>
    </cfRule>
    <cfRule type="cellIs" dxfId="4343" priority="1937" operator="between">
      <formula>0.2551</formula>
      <formula>0.375</formula>
    </cfRule>
    <cfRule type="cellIs" dxfId="4342" priority="1938" operator="greaterThan">
      <formula>0.505</formula>
    </cfRule>
    <cfRule type="cellIs" dxfId="4341" priority="1939" operator="between">
      <formula>0.48</formula>
      <formula>0.5</formula>
    </cfRule>
    <cfRule type="cellIs" dxfId="4340" priority="1940" stopIfTrue="1" operator="between">
      <formula>0</formula>
      <formula>0.255</formula>
    </cfRule>
  </conditionalFormatting>
  <conditionalFormatting sqref="R109">
    <cfRule type="cellIs" dxfId="4339" priority="1931" operator="between">
      <formula>0.3751</formula>
      <formula>0.475</formula>
    </cfRule>
    <cfRule type="cellIs" dxfId="4338" priority="1932" operator="between">
      <formula>0.2551</formula>
      <formula>0.375</formula>
    </cfRule>
    <cfRule type="cellIs" dxfId="4337" priority="1933" operator="greaterThan">
      <formula>0.505</formula>
    </cfRule>
    <cfRule type="cellIs" dxfId="4336" priority="1934" operator="between">
      <formula>0.48</formula>
      <formula>0.5</formula>
    </cfRule>
    <cfRule type="cellIs" dxfId="4335" priority="1935" stopIfTrue="1" operator="between">
      <formula>0</formula>
      <formula>0.255</formula>
    </cfRule>
  </conditionalFormatting>
  <conditionalFormatting sqref="R110">
    <cfRule type="cellIs" dxfId="4334" priority="1926" operator="between">
      <formula>0.3751</formula>
      <formula>0.475</formula>
    </cfRule>
    <cfRule type="cellIs" dxfId="4333" priority="1927" operator="between">
      <formula>0.2551</formula>
      <formula>0.375</formula>
    </cfRule>
    <cfRule type="cellIs" dxfId="4332" priority="1928" operator="greaterThan">
      <formula>0.505</formula>
    </cfRule>
    <cfRule type="cellIs" dxfId="4331" priority="1929" operator="between">
      <formula>0.48</formula>
      <formula>0.5</formula>
    </cfRule>
    <cfRule type="cellIs" dxfId="4330" priority="1930" stopIfTrue="1" operator="between">
      <formula>0</formula>
      <formula>0.255</formula>
    </cfRule>
  </conditionalFormatting>
  <conditionalFormatting sqref="R111">
    <cfRule type="cellIs" dxfId="4329" priority="1921" operator="between">
      <formula>0.3751</formula>
      <formula>0.475</formula>
    </cfRule>
    <cfRule type="cellIs" dxfId="4328" priority="1922" operator="between">
      <formula>0.2551</formula>
      <formula>0.375</formula>
    </cfRule>
    <cfRule type="cellIs" dxfId="4327" priority="1923" operator="greaterThan">
      <formula>0.505</formula>
    </cfRule>
    <cfRule type="cellIs" dxfId="4326" priority="1924" operator="between">
      <formula>0.48</formula>
      <formula>0.5</formula>
    </cfRule>
    <cfRule type="cellIs" dxfId="4325" priority="1925" stopIfTrue="1" operator="between">
      <formula>0</formula>
      <formula>0.255</formula>
    </cfRule>
  </conditionalFormatting>
  <conditionalFormatting sqref="R112">
    <cfRule type="cellIs" dxfId="4324" priority="1916" operator="between">
      <formula>0.3751</formula>
      <formula>0.475</formula>
    </cfRule>
    <cfRule type="cellIs" dxfId="4323" priority="1917" operator="between">
      <formula>0.2551</formula>
      <formula>0.375</formula>
    </cfRule>
    <cfRule type="cellIs" dxfId="4322" priority="1918" operator="greaterThan">
      <formula>0.505</formula>
    </cfRule>
    <cfRule type="cellIs" dxfId="4321" priority="1919" operator="between">
      <formula>0.48</formula>
      <formula>0.5</formula>
    </cfRule>
    <cfRule type="cellIs" dxfId="4320" priority="1920" stopIfTrue="1" operator="between">
      <formula>0</formula>
      <formula>0.255</formula>
    </cfRule>
  </conditionalFormatting>
  <conditionalFormatting sqref="R113">
    <cfRule type="cellIs" dxfId="4319" priority="1911" operator="between">
      <formula>0.3751</formula>
      <formula>0.475</formula>
    </cfRule>
    <cfRule type="cellIs" dxfId="4318" priority="1912" operator="between">
      <formula>0.2551</formula>
      <formula>0.375</formula>
    </cfRule>
    <cfRule type="cellIs" dxfId="4317" priority="1913" operator="greaterThan">
      <formula>0.505</formula>
    </cfRule>
    <cfRule type="cellIs" dxfId="4316" priority="1914" operator="between">
      <formula>0.48</formula>
      <formula>0.5</formula>
    </cfRule>
    <cfRule type="cellIs" dxfId="4315" priority="1915" stopIfTrue="1" operator="between">
      <formula>0</formula>
      <formula>0.255</formula>
    </cfRule>
  </conditionalFormatting>
  <conditionalFormatting sqref="R114">
    <cfRule type="cellIs" dxfId="4314" priority="1906" operator="between">
      <formula>0.3751</formula>
      <formula>0.475</formula>
    </cfRule>
    <cfRule type="cellIs" dxfId="4313" priority="1907" operator="between">
      <formula>0.2551</formula>
      <formula>0.375</formula>
    </cfRule>
    <cfRule type="cellIs" dxfId="4312" priority="1908" operator="greaterThan">
      <formula>0.505</formula>
    </cfRule>
    <cfRule type="cellIs" dxfId="4311" priority="1909" operator="between">
      <formula>0.48</formula>
      <formula>0.5</formula>
    </cfRule>
    <cfRule type="cellIs" dxfId="4310" priority="1910" stopIfTrue="1" operator="between">
      <formula>0</formula>
      <formula>0.255</formula>
    </cfRule>
  </conditionalFormatting>
  <conditionalFormatting sqref="R115">
    <cfRule type="cellIs" dxfId="4309" priority="1901" operator="between">
      <formula>0.3751</formula>
      <formula>0.475</formula>
    </cfRule>
    <cfRule type="cellIs" dxfId="4308" priority="1902" operator="between">
      <formula>0.2551</formula>
      <formula>0.375</formula>
    </cfRule>
    <cfRule type="cellIs" dxfId="4307" priority="1903" operator="greaterThan">
      <formula>0.505</formula>
    </cfRule>
    <cfRule type="cellIs" dxfId="4306" priority="1904" operator="between">
      <formula>0.48</formula>
      <formula>0.5</formula>
    </cfRule>
    <cfRule type="cellIs" dxfId="4305" priority="1905" stopIfTrue="1" operator="between">
      <formula>0</formula>
      <formula>0.255</formula>
    </cfRule>
  </conditionalFormatting>
  <conditionalFormatting sqref="R116">
    <cfRule type="cellIs" dxfId="4304" priority="1896" operator="between">
      <formula>0.3751</formula>
      <formula>0.475</formula>
    </cfRule>
    <cfRule type="cellIs" dxfId="4303" priority="1897" operator="between">
      <formula>0.2551</formula>
      <formula>0.375</formula>
    </cfRule>
    <cfRule type="cellIs" dxfId="4302" priority="1898" operator="greaterThan">
      <formula>0.505</formula>
    </cfRule>
    <cfRule type="cellIs" dxfId="4301" priority="1899" operator="between">
      <formula>0.48</formula>
      <formula>0.5</formula>
    </cfRule>
    <cfRule type="cellIs" dxfId="4300" priority="1900" stopIfTrue="1" operator="between">
      <formula>0</formula>
      <formula>0.255</formula>
    </cfRule>
  </conditionalFormatting>
  <conditionalFormatting sqref="R117">
    <cfRule type="cellIs" dxfId="4299" priority="1886" operator="between">
      <formula>0.3751</formula>
      <formula>0.475</formula>
    </cfRule>
    <cfRule type="cellIs" dxfId="4298" priority="1887" operator="between">
      <formula>0.2551</formula>
      <formula>0.375</formula>
    </cfRule>
    <cfRule type="cellIs" dxfId="4297" priority="1888" operator="greaterThan">
      <formula>0.505</formula>
    </cfRule>
    <cfRule type="cellIs" dxfId="4296" priority="1889" operator="between">
      <formula>0.48</formula>
      <formula>0.5</formula>
    </cfRule>
    <cfRule type="cellIs" dxfId="4295" priority="1890" stopIfTrue="1" operator="between">
      <formula>0</formula>
      <formula>0.255</formula>
    </cfRule>
  </conditionalFormatting>
  <conditionalFormatting sqref="R118">
    <cfRule type="cellIs" dxfId="4294" priority="1881" operator="between">
      <formula>0.3751</formula>
      <formula>0.475</formula>
    </cfRule>
    <cfRule type="cellIs" dxfId="4293" priority="1882" operator="between">
      <formula>0.2551</formula>
      <formula>0.375</formula>
    </cfRule>
    <cfRule type="cellIs" dxfId="4292" priority="1883" operator="greaterThan">
      <formula>0.505</formula>
    </cfRule>
    <cfRule type="cellIs" dxfId="4291" priority="1884" operator="between">
      <formula>0.48</formula>
      <formula>0.5</formula>
    </cfRule>
    <cfRule type="cellIs" dxfId="4290" priority="1885" stopIfTrue="1" operator="between">
      <formula>0</formula>
      <formula>0.255</formula>
    </cfRule>
  </conditionalFormatting>
  <conditionalFormatting sqref="R119">
    <cfRule type="cellIs" dxfId="4289" priority="1876" operator="between">
      <formula>0.3751</formula>
      <formula>0.475</formula>
    </cfRule>
    <cfRule type="cellIs" dxfId="4288" priority="1877" operator="between">
      <formula>0.2551</formula>
      <formula>0.375</formula>
    </cfRule>
    <cfRule type="cellIs" dxfId="4287" priority="1878" operator="greaterThan">
      <formula>0.505</formula>
    </cfRule>
    <cfRule type="cellIs" dxfId="4286" priority="1879" operator="between">
      <formula>0.48</formula>
      <formula>0.5</formula>
    </cfRule>
    <cfRule type="cellIs" dxfId="4285" priority="1880" stopIfTrue="1" operator="between">
      <formula>0</formula>
      <formula>0.255</formula>
    </cfRule>
  </conditionalFormatting>
  <conditionalFormatting sqref="R120">
    <cfRule type="cellIs" dxfId="4284" priority="1871" operator="between">
      <formula>0.3751</formula>
      <formula>0.475</formula>
    </cfRule>
    <cfRule type="cellIs" dxfId="4283" priority="1872" operator="between">
      <formula>0.2551</formula>
      <formula>0.375</formula>
    </cfRule>
    <cfRule type="cellIs" dxfId="4282" priority="1873" operator="greaterThan">
      <formula>0.505</formula>
    </cfRule>
    <cfRule type="cellIs" dxfId="4281" priority="1874" operator="between">
      <formula>0.48</formula>
      <formula>0.5</formula>
    </cfRule>
    <cfRule type="cellIs" dxfId="4280" priority="1875" stopIfTrue="1" operator="between">
      <formula>0</formula>
      <formula>0.255</formula>
    </cfRule>
  </conditionalFormatting>
  <conditionalFormatting sqref="R121">
    <cfRule type="cellIs" dxfId="4279" priority="1866" operator="between">
      <formula>0.3751</formula>
      <formula>0.475</formula>
    </cfRule>
    <cfRule type="cellIs" dxfId="4278" priority="1867" operator="between">
      <formula>0.2551</formula>
      <formula>0.375</formula>
    </cfRule>
    <cfRule type="cellIs" dxfId="4277" priority="1868" operator="greaterThan">
      <formula>0.505</formula>
    </cfRule>
    <cfRule type="cellIs" dxfId="4276" priority="1869" operator="between">
      <formula>0.48</formula>
      <formula>0.5</formula>
    </cfRule>
    <cfRule type="cellIs" dxfId="4275" priority="1870" stopIfTrue="1" operator="between">
      <formula>0</formula>
      <formula>0.255</formula>
    </cfRule>
  </conditionalFormatting>
  <conditionalFormatting sqref="R122">
    <cfRule type="cellIs" dxfId="4274" priority="1861" operator="between">
      <formula>0.3751</formula>
      <formula>0.475</formula>
    </cfRule>
    <cfRule type="cellIs" dxfId="4273" priority="1862" operator="between">
      <formula>0.2551</formula>
      <formula>0.375</formula>
    </cfRule>
    <cfRule type="cellIs" dxfId="4272" priority="1863" operator="greaterThan">
      <formula>0.505</formula>
    </cfRule>
    <cfRule type="cellIs" dxfId="4271" priority="1864" operator="between">
      <formula>0.48</formula>
      <formula>0.5</formula>
    </cfRule>
    <cfRule type="cellIs" dxfId="4270" priority="1865" stopIfTrue="1" operator="between">
      <formula>0</formula>
      <formula>0.255</formula>
    </cfRule>
  </conditionalFormatting>
  <conditionalFormatting sqref="R124">
    <cfRule type="cellIs" dxfId="4269" priority="1856" operator="between">
      <formula>0.3751</formula>
      <formula>0.475</formula>
    </cfRule>
    <cfRule type="cellIs" dxfId="4268" priority="1857" operator="between">
      <formula>0.2551</formula>
      <formula>0.375</formula>
    </cfRule>
    <cfRule type="cellIs" dxfId="4267" priority="1858" operator="greaterThan">
      <formula>0.505</formula>
    </cfRule>
    <cfRule type="cellIs" dxfId="4266" priority="1859" operator="between">
      <formula>0.48</formula>
      <formula>0.5</formula>
    </cfRule>
    <cfRule type="cellIs" dxfId="4265" priority="1860" stopIfTrue="1" operator="between">
      <formula>0</formula>
      <formula>0.255</formula>
    </cfRule>
  </conditionalFormatting>
  <conditionalFormatting sqref="R125">
    <cfRule type="cellIs" dxfId="4264" priority="1851" operator="between">
      <formula>0.3751</formula>
      <formula>0.475</formula>
    </cfRule>
    <cfRule type="cellIs" dxfId="4263" priority="1852" operator="between">
      <formula>0.2551</formula>
      <formula>0.375</formula>
    </cfRule>
    <cfRule type="cellIs" dxfId="4262" priority="1853" operator="greaterThan">
      <formula>0.505</formula>
    </cfRule>
    <cfRule type="cellIs" dxfId="4261" priority="1854" operator="between">
      <formula>0.48</formula>
      <formula>0.5</formula>
    </cfRule>
    <cfRule type="cellIs" dxfId="4260" priority="1855" stopIfTrue="1" operator="between">
      <formula>0</formula>
      <formula>0.255</formula>
    </cfRule>
  </conditionalFormatting>
  <conditionalFormatting sqref="R126">
    <cfRule type="cellIs" dxfId="4259" priority="1846" operator="between">
      <formula>0.3751</formula>
      <formula>0.475</formula>
    </cfRule>
    <cfRule type="cellIs" dxfId="4258" priority="1847" operator="between">
      <formula>0.2551</formula>
      <formula>0.375</formula>
    </cfRule>
    <cfRule type="cellIs" dxfId="4257" priority="1848" operator="greaterThan">
      <formula>0.505</formula>
    </cfRule>
    <cfRule type="cellIs" dxfId="4256" priority="1849" operator="between">
      <formula>0.48</formula>
      <formula>0.5</formula>
    </cfRule>
    <cfRule type="cellIs" dxfId="4255" priority="1850" stopIfTrue="1" operator="between">
      <formula>0</formula>
      <formula>0.255</formula>
    </cfRule>
  </conditionalFormatting>
  <conditionalFormatting sqref="R127">
    <cfRule type="cellIs" dxfId="4254" priority="1841" operator="between">
      <formula>0.3751</formula>
      <formula>0.475</formula>
    </cfRule>
    <cfRule type="cellIs" dxfId="4253" priority="1842" operator="between">
      <formula>0.2551</formula>
      <formula>0.375</formula>
    </cfRule>
    <cfRule type="cellIs" dxfId="4252" priority="1843" operator="greaterThan">
      <formula>0.505</formula>
    </cfRule>
    <cfRule type="cellIs" dxfId="4251" priority="1844" operator="between">
      <formula>0.48</formula>
      <formula>0.5</formula>
    </cfRule>
    <cfRule type="cellIs" dxfId="4250" priority="1845" stopIfTrue="1" operator="between">
      <formula>0</formula>
      <formula>0.255</formula>
    </cfRule>
  </conditionalFormatting>
  <conditionalFormatting sqref="R128">
    <cfRule type="cellIs" dxfId="4249" priority="1836" operator="between">
      <formula>0.3751</formula>
      <formula>0.475</formula>
    </cfRule>
    <cfRule type="cellIs" dxfId="4248" priority="1837" operator="between">
      <formula>0.2551</formula>
      <formula>0.375</formula>
    </cfRule>
    <cfRule type="cellIs" dxfId="4247" priority="1838" operator="greaterThan">
      <formula>0.505</formula>
    </cfRule>
    <cfRule type="cellIs" dxfId="4246" priority="1839" operator="between">
      <formula>0.48</formula>
      <formula>0.5</formula>
    </cfRule>
    <cfRule type="cellIs" dxfId="4245" priority="1840" stopIfTrue="1" operator="between">
      <formula>0</formula>
      <formula>0.255</formula>
    </cfRule>
  </conditionalFormatting>
  <conditionalFormatting sqref="R129">
    <cfRule type="cellIs" dxfId="4244" priority="1831" operator="between">
      <formula>0.3751</formula>
      <formula>0.475</formula>
    </cfRule>
    <cfRule type="cellIs" dxfId="4243" priority="1832" operator="between">
      <formula>0.2551</formula>
      <formula>0.375</formula>
    </cfRule>
    <cfRule type="cellIs" dxfId="4242" priority="1833" operator="greaterThan">
      <formula>0.505</formula>
    </cfRule>
    <cfRule type="cellIs" dxfId="4241" priority="1834" operator="between">
      <formula>0.48</formula>
      <formula>0.5</formula>
    </cfRule>
    <cfRule type="cellIs" dxfId="4240" priority="1835" stopIfTrue="1" operator="between">
      <formula>0</formula>
      <formula>0.255</formula>
    </cfRule>
  </conditionalFormatting>
  <conditionalFormatting sqref="R130">
    <cfRule type="cellIs" dxfId="4239" priority="1826" operator="between">
      <formula>0.3751</formula>
      <formula>0.475</formula>
    </cfRule>
    <cfRule type="cellIs" dxfId="4238" priority="1827" operator="between">
      <formula>0.2551</formula>
      <formula>0.375</formula>
    </cfRule>
    <cfRule type="cellIs" dxfId="4237" priority="1828" operator="greaterThan">
      <formula>0.505</formula>
    </cfRule>
    <cfRule type="cellIs" dxfId="4236" priority="1829" operator="between">
      <formula>0.48</formula>
      <formula>0.5</formula>
    </cfRule>
    <cfRule type="cellIs" dxfId="4235" priority="1830" stopIfTrue="1" operator="between">
      <formula>0</formula>
      <formula>0.255</formula>
    </cfRule>
  </conditionalFormatting>
  <conditionalFormatting sqref="R131">
    <cfRule type="cellIs" dxfId="4234" priority="1821" operator="between">
      <formula>0.3751</formula>
      <formula>0.475</formula>
    </cfRule>
    <cfRule type="cellIs" dxfId="4233" priority="1822" operator="between">
      <formula>0.2551</formula>
      <formula>0.375</formula>
    </cfRule>
    <cfRule type="cellIs" dxfId="4232" priority="1823" operator="greaterThan">
      <formula>0.505</formula>
    </cfRule>
    <cfRule type="cellIs" dxfId="4231" priority="1824" operator="between">
      <formula>0.48</formula>
      <formula>0.5</formula>
    </cfRule>
    <cfRule type="cellIs" dxfId="4230" priority="1825" stopIfTrue="1" operator="between">
      <formula>0</formula>
      <formula>0.255</formula>
    </cfRule>
  </conditionalFormatting>
  <conditionalFormatting sqref="R132">
    <cfRule type="cellIs" dxfId="4229" priority="1816" operator="between">
      <formula>0.3751</formula>
      <formula>0.475</formula>
    </cfRule>
    <cfRule type="cellIs" dxfId="4228" priority="1817" operator="between">
      <formula>0.2551</formula>
      <formula>0.375</formula>
    </cfRule>
    <cfRule type="cellIs" dxfId="4227" priority="1818" operator="greaterThan">
      <formula>0.505</formula>
    </cfRule>
    <cfRule type="cellIs" dxfId="4226" priority="1819" operator="between">
      <formula>0.48</formula>
      <formula>0.5</formula>
    </cfRule>
    <cfRule type="cellIs" dxfId="4225" priority="1820" stopIfTrue="1" operator="between">
      <formula>0</formula>
      <formula>0.255</formula>
    </cfRule>
  </conditionalFormatting>
  <conditionalFormatting sqref="R133">
    <cfRule type="cellIs" dxfId="4224" priority="1811" operator="between">
      <formula>0.3751</formula>
      <formula>0.475</formula>
    </cfRule>
    <cfRule type="cellIs" dxfId="4223" priority="1812" operator="between">
      <formula>0.2551</formula>
      <formula>0.375</formula>
    </cfRule>
    <cfRule type="cellIs" dxfId="4222" priority="1813" operator="greaterThan">
      <formula>0.505</formula>
    </cfRule>
    <cfRule type="cellIs" dxfId="4221" priority="1814" operator="between">
      <formula>0.48</formula>
      <formula>0.5</formula>
    </cfRule>
    <cfRule type="cellIs" dxfId="4220" priority="1815" stopIfTrue="1" operator="between">
      <formula>0</formula>
      <formula>0.255</formula>
    </cfRule>
  </conditionalFormatting>
  <conditionalFormatting sqref="R134">
    <cfRule type="cellIs" dxfId="4219" priority="1806" operator="between">
      <formula>0.3751</formula>
      <formula>0.475</formula>
    </cfRule>
    <cfRule type="cellIs" dxfId="4218" priority="1807" operator="between">
      <formula>0.2551</formula>
      <formula>0.375</formula>
    </cfRule>
    <cfRule type="cellIs" dxfId="4217" priority="1808" operator="greaterThan">
      <formula>0.505</formula>
    </cfRule>
    <cfRule type="cellIs" dxfId="4216" priority="1809" operator="between">
      <formula>0.48</formula>
      <formula>0.5</formula>
    </cfRule>
    <cfRule type="cellIs" dxfId="4215" priority="1810" stopIfTrue="1" operator="between">
      <formula>0</formula>
      <formula>0.255</formula>
    </cfRule>
  </conditionalFormatting>
  <conditionalFormatting sqref="R135">
    <cfRule type="cellIs" dxfId="4214" priority="1801" operator="between">
      <formula>0.3751</formula>
      <formula>0.475</formula>
    </cfRule>
    <cfRule type="cellIs" dxfId="4213" priority="1802" operator="between">
      <formula>0.2551</formula>
      <formula>0.375</formula>
    </cfRule>
    <cfRule type="cellIs" dxfId="4212" priority="1803" operator="greaterThan">
      <formula>0.505</formula>
    </cfRule>
    <cfRule type="cellIs" dxfId="4211" priority="1804" operator="between">
      <formula>0.48</formula>
      <formula>0.5</formula>
    </cfRule>
    <cfRule type="cellIs" dxfId="4210" priority="1805" stopIfTrue="1" operator="between">
      <formula>0</formula>
      <formula>0.255</formula>
    </cfRule>
  </conditionalFormatting>
  <conditionalFormatting sqref="R136">
    <cfRule type="cellIs" dxfId="4209" priority="1796" operator="between">
      <formula>0.3751</formula>
      <formula>0.475</formula>
    </cfRule>
    <cfRule type="cellIs" dxfId="4208" priority="1797" operator="between">
      <formula>0.2551</formula>
      <formula>0.375</formula>
    </cfRule>
    <cfRule type="cellIs" dxfId="4207" priority="1798" operator="greaterThan">
      <formula>0.505</formula>
    </cfRule>
    <cfRule type="cellIs" dxfId="4206" priority="1799" operator="between">
      <formula>0.48</formula>
      <formula>0.5</formula>
    </cfRule>
    <cfRule type="cellIs" dxfId="4205" priority="1800" stopIfTrue="1" operator="between">
      <formula>0</formula>
      <formula>0.255</formula>
    </cfRule>
  </conditionalFormatting>
  <conditionalFormatting sqref="R137">
    <cfRule type="cellIs" dxfId="4204" priority="1791" operator="between">
      <formula>0.3751</formula>
      <formula>0.475</formula>
    </cfRule>
    <cfRule type="cellIs" dxfId="4203" priority="1792" operator="between">
      <formula>0.2551</formula>
      <formula>0.375</formula>
    </cfRule>
    <cfRule type="cellIs" dxfId="4202" priority="1793" operator="greaterThan">
      <formula>0.505</formula>
    </cfRule>
    <cfRule type="cellIs" dxfId="4201" priority="1794" operator="between">
      <formula>0.48</formula>
      <formula>0.5</formula>
    </cfRule>
    <cfRule type="cellIs" dxfId="4200" priority="1795" stopIfTrue="1" operator="between">
      <formula>0</formula>
      <formula>0.255</formula>
    </cfRule>
  </conditionalFormatting>
  <conditionalFormatting sqref="R138">
    <cfRule type="cellIs" dxfId="4199" priority="1786" operator="between">
      <formula>0.3751</formula>
      <formula>0.475</formula>
    </cfRule>
    <cfRule type="cellIs" dxfId="4198" priority="1787" operator="between">
      <formula>0.2551</formula>
      <formula>0.375</formula>
    </cfRule>
    <cfRule type="cellIs" dxfId="4197" priority="1788" operator="greaterThan">
      <formula>0.505</formula>
    </cfRule>
    <cfRule type="cellIs" dxfId="4196" priority="1789" operator="between">
      <formula>0.48</formula>
      <formula>0.5</formula>
    </cfRule>
    <cfRule type="cellIs" dxfId="4195" priority="1790" stopIfTrue="1" operator="between">
      <formula>0</formula>
      <formula>0.255</formula>
    </cfRule>
  </conditionalFormatting>
  <conditionalFormatting sqref="R139">
    <cfRule type="cellIs" dxfId="4194" priority="1781" operator="between">
      <formula>0.3751</formula>
      <formula>0.475</formula>
    </cfRule>
    <cfRule type="cellIs" dxfId="4193" priority="1782" operator="between">
      <formula>0.2551</formula>
      <formula>0.375</formula>
    </cfRule>
    <cfRule type="cellIs" dxfId="4192" priority="1783" operator="greaterThan">
      <formula>0.505</formula>
    </cfRule>
    <cfRule type="cellIs" dxfId="4191" priority="1784" operator="between">
      <formula>0.48</formula>
      <formula>0.5</formula>
    </cfRule>
    <cfRule type="cellIs" dxfId="4190" priority="1785" stopIfTrue="1" operator="between">
      <formula>0</formula>
      <formula>0.255</formula>
    </cfRule>
  </conditionalFormatting>
  <conditionalFormatting sqref="R140">
    <cfRule type="cellIs" dxfId="4189" priority="1776" operator="between">
      <formula>0.3751</formula>
      <formula>0.475</formula>
    </cfRule>
    <cfRule type="cellIs" dxfId="4188" priority="1777" operator="between">
      <formula>0.2551</formula>
      <formula>0.375</formula>
    </cfRule>
    <cfRule type="cellIs" dxfId="4187" priority="1778" operator="greaterThan">
      <formula>0.505</formula>
    </cfRule>
    <cfRule type="cellIs" dxfId="4186" priority="1779" operator="between">
      <formula>0.48</formula>
      <formula>0.5</formula>
    </cfRule>
    <cfRule type="cellIs" dxfId="4185" priority="1780" stopIfTrue="1" operator="between">
      <formula>0</formula>
      <formula>0.255</formula>
    </cfRule>
  </conditionalFormatting>
  <conditionalFormatting sqref="R141">
    <cfRule type="cellIs" dxfId="4184" priority="1771" operator="between">
      <formula>0.3751</formula>
      <formula>0.475</formula>
    </cfRule>
    <cfRule type="cellIs" dxfId="4183" priority="1772" operator="between">
      <formula>0.2551</formula>
      <formula>0.375</formula>
    </cfRule>
    <cfRule type="cellIs" dxfId="4182" priority="1773" operator="greaterThan">
      <formula>0.505</formula>
    </cfRule>
    <cfRule type="cellIs" dxfId="4181" priority="1774" operator="between">
      <formula>0.48</formula>
      <formula>0.5</formula>
    </cfRule>
    <cfRule type="cellIs" dxfId="4180" priority="1775" stopIfTrue="1" operator="between">
      <formula>0</formula>
      <formula>0.255</formula>
    </cfRule>
  </conditionalFormatting>
  <conditionalFormatting sqref="R142">
    <cfRule type="cellIs" dxfId="4179" priority="1766" operator="between">
      <formula>0.3751</formula>
      <formula>0.475</formula>
    </cfRule>
    <cfRule type="cellIs" dxfId="4178" priority="1767" operator="between">
      <formula>0.2551</formula>
      <formula>0.375</formula>
    </cfRule>
    <cfRule type="cellIs" dxfId="4177" priority="1768" operator="greaterThan">
      <formula>0.505</formula>
    </cfRule>
    <cfRule type="cellIs" dxfId="4176" priority="1769" operator="between">
      <formula>0.48</formula>
      <formula>0.5</formula>
    </cfRule>
    <cfRule type="cellIs" dxfId="4175" priority="1770" stopIfTrue="1" operator="between">
      <formula>0</formula>
      <formula>0.255</formula>
    </cfRule>
  </conditionalFormatting>
  <conditionalFormatting sqref="R143">
    <cfRule type="cellIs" dxfId="4174" priority="1761" operator="between">
      <formula>0.3751</formula>
      <formula>0.475</formula>
    </cfRule>
    <cfRule type="cellIs" dxfId="4173" priority="1762" operator="between">
      <formula>0.2551</formula>
      <formula>0.375</formula>
    </cfRule>
    <cfRule type="cellIs" dxfId="4172" priority="1763" operator="greaterThan">
      <formula>0.505</formula>
    </cfRule>
    <cfRule type="cellIs" dxfId="4171" priority="1764" operator="between">
      <formula>0.48</formula>
      <formula>0.5</formula>
    </cfRule>
    <cfRule type="cellIs" dxfId="4170" priority="1765" stopIfTrue="1" operator="between">
      <formula>0</formula>
      <formula>0.255</formula>
    </cfRule>
  </conditionalFormatting>
  <conditionalFormatting sqref="R144">
    <cfRule type="cellIs" dxfId="4169" priority="1756" operator="between">
      <formula>0.3751</formula>
      <formula>0.475</formula>
    </cfRule>
    <cfRule type="cellIs" dxfId="4168" priority="1757" operator="between">
      <formula>0.2551</formula>
      <formula>0.375</formula>
    </cfRule>
    <cfRule type="cellIs" dxfId="4167" priority="1758" operator="greaterThan">
      <formula>0.505</formula>
    </cfRule>
    <cfRule type="cellIs" dxfId="4166" priority="1759" operator="between">
      <formula>0.48</formula>
      <formula>0.5</formula>
    </cfRule>
    <cfRule type="cellIs" dxfId="4165" priority="1760" stopIfTrue="1" operator="between">
      <formula>0</formula>
      <formula>0.255</formula>
    </cfRule>
  </conditionalFormatting>
  <conditionalFormatting sqref="R145">
    <cfRule type="cellIs" dxfId="4164" priority="1751" operator="between">
      <formula>0.3751</formula>
      <formula>0.475</formula>
    </cfRule>
    <cfRule type="cellIs" dxfId="4163" priority="1752" operator="between">
      <formula>0.2551</formula>
      <formula>0.375</formula>
    </cfRule>
    <cfRule type="cellIs" dxfId="4162" priority="1753" operator="greaterThan">
      <formula>0.505</formula>
    </cfRule>
    <cfRule type="cellIs" dxfId="4161" priority="1754" operator="between">
      <formula>0.48</formula>
      <formula>0.5</formula>
    </cfRule>
    <cfRule type="cellIs" dxfId="4160" priority="1755" stopIfTrue="1" operator="between">
      <formula>0</formula>
      <formula>0.255</formula>
    </cfRule>
  </conditionalFormatting>
  <conditionalFormatting sqref="R147">
    <cfRule type="cellIs" dxfId="4159" priority="1746" operator="between">
      <formula>0.3751</formula>
      <formula>0.475</formula>
    </cfRule>
    <cfRule type="cellIs" dxfId="4158" priority="1747" operator="between">
      <formula>0.2551</formula>
      <formula>0.375</formula>
    </cfRule>
    <cfRule type="cellIs" dxfId="4157" priority="1748" operator="greaterThan">
      <formula>0.505</formula>
    </cfRule>
    <cfRule type="cellIs" dxfId="4156" priority="1749" operator="between">
      <formula>0.48</formula>
      <formula>0.5</formula>
    </cfRule>
    <cfRule type="cellIs" dxfId="4155" priority="1750" stopIfTrue="1" operator="between">
      <formula>0</formula>
      <formula>0.255</formula>
    </cfRule>
  </conditionalFormatting>
  <conditionalFormatting sqref="R148">
    <cfRule type="cellIs" dxfId="4154" priority="1741" operator="between">
      <formula>0.3751</formula>
      <formula>0.475</formula>
    </cfRule>
    <cfRule type="cellIs" dxfId="4153" priority="1742" operator="between">
      <formula>0.2551</formula>
      <formula>0.375</formula>
    </cfRule>
    <cfRule type="cellIs" dxfId="4152" priority="1743" operator="greaterThan">
      <formula>0.505</formula>
    </cfRule>
    <cfRule type="cellIs" dxfId="4151" priority="1744" operator="between">
      <formula>0.48</formula>
      <formula>0.5</formula>
    </cfRule>
    <cfRule type="cellIs" dxfId="4150" priority="1745" stopIfTrue="1" operator="between">
      <formula>0</formula>
      <formula>0.255</formula>
    </cfRule>
  </conditionalFormatting>
  <conditionalFormatting sqref="R149">
    <cfRule type="cellIs" dxfId="4149" priority="1736" operator="between">
      <formula>0.3751</formula>
      <formula>0.475</formula>
    </cfRule>
    <cfRule type="cellIs" dxfId="4148" priority="1737" operator="between">
      <formula>0.2551</formula>
      <formula>0.375</formula>
    </cfRule>
    <cfRule type="cellIs" dxfId="4147" priority="1738" operator="greaterThan">
      <formula>0.505</formula>
    </cfRule>
    <cfRule type="cellIs" dxfId="4146" priority="1739" operator="between">
      <formula>0.48</formula>
      <formula>0.5</formula>
    </cfRule>
    <cfRule type="cellIs" dxfId="4145" priority="1740" stopIfTrue="1" operator="between">
      <formula>0</formula>
      <formula>0.255</formula>
    </cfRule>
  </conditionalFormatting>
  <conditionalFormatting sqref="R150">
    <cfRule type="cellIs" dxfId="4144" priority="1731" operator="between">
      <formula>0.3751</formula>
      <formula>0.475</formula>
    </cfRule>
    <cfRule type="cellIs" dxfId="4143" priority="1732" operator="between">
      <formula>0.2551</formula>
      <formula>0.375</formula>
    </cfRule>
    <cfRule type="cellIs" dxfId="4142" priority="1733" operator="greaterThan">
      <formula>0.505</formula>
    </cfRule>
    <cfRule type="cellIs" dxfId="4141" priority="1734" operator="between">
      <formula>0.48</formula>
      <formula>0.5</formula>
    </cfRule>
    <cfRule type="cellIs" dxfId="4140" priority="1735" stopIfTrue="1" operator="between">
      <formula>0</formula>
      <formula>0.255</formula>
    </cfRule>
  </conditionalFormatting>
  <conditionalFormatting sqref="R151">
    <cfRule type="cellIs" dxfId="4139" priority="1726" operator="between">
      <formula>0.3751</formula>
      <formula>0.475</formula>
    </cfRule>
    <cfRule type="cellIs" dxfId="4138" priority="1727" operator="between">
      <formula>0.2551</formula>
      <formula>0.375</formula>
    </cfRule>
    <cfRule type="cellIs" dxfId="4137" priority="1728" operator="greaterThan">
      <formula>0.505</formula>
    </cfRule>
    <cfRule type="cellIs" dxfId="4136" priority="1729" operator="between">
      <formula>0.48</formula>
      <formula>0.5</formula>
    </cfRule>
    <cfRule type="cellIs" dxfId="4135" priority="1730" stopIfTrue="1" operator="between">
      <formula>0</formula>
      <formula>0.255</formula>
    </cfRule>
  </conditionalFormatting>
  <conditionalFormatting sqref="R152">
    <cfRule type="cellIs" dxfId="4134" priority="1721" operator="between">
      <formula>0.3751</formula>
      <formula>0.475</formula>
    </cfRule>
    <cfRule type="cellIs" dxfId="4133" priority="1722" operator="between">
      <formula>0.2551</formula>
      <formula>0.375</formula>
    </cfRule>
    <cfRule type="cellIs" dxfId="4132" priority="1723" operator="greaterThan">
      <formula>0.505</formula>
    </cfRule>
    <cfRule type="cellIs" dxfId="4131" priority="1724" operator="between">
      <formula>0.48</formula>
      <formula>0.5</formula>
    </cfRule>
    <cfRule type="cellIs" dxfId="4130" priority="1725" stopIfTrue="1" operator="between">
      <formula>0</formula>
      <formula>0.255</formula>
    </cfRule>
  </conditionalFormatting>
  <conditionalFormatting sqref="R153">
    <cfRule type="cellIs" dxfId="4129" priority="1716" operator="between">
      <formula>0.3751</formula>
      <formula>0.475</formula>
    </cfRule>
    <cfRule type="cellIs" dxfId="4128" priority="1717" operator="between">
      <formula>0.2551</formula>
      <formula>0.375</formula>
    </cfRule>
    <cfRule type="cellIs" dxfId="4127" priority="1718" operator="greaterThan">
      <formula>0.505</formula>
    </cfRule>
    <cfRule type="cellIs" dxfId="4126" priority="1719" operator="between">
      <formula>0.48</formula>
      <formula>0.5</formula>
    </cfRule>
    <cfRule type="cellIs" dxfId="4125" priority="1720" stopIfTrue="1" operator="between">
      <formula>0</formula>
      <formula>0.255</formula>
    </cfRule>
  </conditionalFormatting>
  <conditionalFormatting sqref="R154">
    <cfRule type="cellIs" dxfId="4124" priority="1711" operator="between">
      <formula>0.3751</formula>
      <formula>0.475</formula>
    </cfRule>
    <cfRule type="cellIs" dxfId="4123" priority="1712" operator="between">
      <formula>0.2551</formula>
      <formula>0.375</formula>
    </cfRule>
    <cfRule type="cellIs" dxfId="4122" priority="1713" operator="greaterThan">
      <formula>0.505</formula>
    </cfRule>
    <cfRule type="cellIs" dxfId="4121" priority="1714" operator="between">
      <formula>0.48</formula>
      <formula>0.5</formula>
    </cfRule>
    <cfRule type="cellIs" dxfId="4120" priority="1715" stopIfTrue="1" operator="between">
      <formula>0</formula>
      <formula>0.255</formula>
    </cfRule>
  </conditionalFormatting>
  <conditionalFormatting sqref="R156">
    <cfRule type="cellIs" dxfId="4119" priority="1706" operator="between">
      <formula>0.3751</formula>
      <formula>0.475</formula>
    </cfRule>
    <cfRule type="cellIs" dxfId="4118" priority="1707" operator="between">
      <formula>0.2551</formula>
      <formula>0.375</formula>
    </cfRule>
    <cfRule type="cellIs" dxfId="4117" priority="1708" operator="greaterThan">
      <formula>0.505</formula>
    </cfRule>
    <cfRule type="cellIs" dxfId="4116" priority="1709" operator="between">
      <formula>0.48</formula>
      <formula>0.5</formula>
    </cfRule>
    <cfRule type="cellIs" dxfId="4115" priority="1710" stopIfTrue="1" operator="between">
      <formula>0</formula>
      <formula>0.255</formula>
    </cfRule>
  </conditionalFormatting>
  <conditionalFormatting sqref="R157">
    <cfRule type="cellIs" dxfId="4114" priority="1701" operator="between">
      <formula>0.3751</formula>
      <formula>0.475</formula>
    </cfRule>
    <cfRule type="cellIs" dxfId="4113" priority="1702" operator="between">
      <formula>0.2551</formula>
      <formula>0.375</formula>
    </cfRule>
    <cfRule type="cellIs" dxfId="4112" priority="1703" operator="greaterThan">
      <formula>0.505</formula>
    </cfRule>
    <cfRule type="cellIs" dxfId="4111" priority="1704" operator="between">
      <formula>0.48</formula>
      <formula>0.5</formula>
    </cfRule>
    <cfRule type="cellIs" dxfId="4110" priority="1705" stopIfTrue="1" operator="between">
      <formula>0</formula>
      <formula>0.255</formula>
    </cfRule>
  </conditionalFormatting>
  <conditionalFormatting sqref="R158">
    <cfRule type="cellIs" dxfId="4109" priority="1696" operator="between">
      <formula>0.3751</formula>
      <formula>0.475</formula>
    </cfRule>
    <cfRule type="cellIs" dxfId="4108" priority="1697" operator="between">
      <formula>0.2551</formula>
      <formula>0.375</formula>
    </cfRule>
    <cfRule type="cellIs" dxfId="4107" priority="1698" operator="greaterThan">
      <formula>0.505</formula>
    </cfRule>
    <cfRule type="cellIs" dxfId="4106" priority="1699" operator="between">
      <formula>0.48</formula>
      <formula>0.5</formula>
    </cfRule>
    <cfRule type="cellIs" dxfId="4105" priority="1700" stopIfTrue="1" operator="between">
      <formula>0</formula>
      <formula>0.255</formula>
    </cfRule>
  </conditionalFormatting>
  <conditionalFormatting sqref="R159">
    <cfRule type="cellIs" dxfId="4104" priority="1691" operator="between">
      <formula>0.3751</formula>
      <formula>0.475</formula>
    </cfRule>
    <cfRule type="cellIs" dxfId="4103" priority="1692" operator="between">
      <formula>0.2551</formula>
      <formula>0.375</formula>
    </cfRule>
    <cfRule type="cellIs" dxfId="4102" priority="1693" operator="greaterThan">
      <formula>0.505</formula>
    </cfRule>
    <cfRule type="cellIs" dxfId="4101" priority="1694" operator="between">
      <formula>0.48</formula>
      <formula>0.5</formula>
    </cfRule>
    <cfRule type="cellIs" dxfId="4100" priority="1695" stopIfTrue="1" operator="between">
      <formula>0</formula>
      <formula>0.255</formula>
    </cfRule>
  </conditionalFormatting>
  <conditionalFormatting sqref="R160">
    <cfRule type="cellIs" dxfId="4099" priority="1686" operator="between">
      <formula>0.3751</formula>
      <formula>0.475</formula>
    </cfRule>
    <cfRule type="cellIs" dxfId="4098" priority="1687" operator="between">
      <formula>0.2551</formula>
      <formula>0.375</formula>
    </cfRule>
    <cfRule type="cellIs" dxfId="4097" priority="1688" operator="greaterThan">
      <formula>0.505</formula>
    </cfRule>
    <cfRule type="cellIs" dxfId="4096" priority="1689" operator="between">
      <formula>0.48</formula>
      <formula>0.5</formula>
    </cfRule>
    <cfRule type="cellIs" dxfId="4095" priority="1690" stopIfTrue="1" operator="between">
      <formula>0</formula>
      <formula>0.255</formula>
    </cfRule>
  </conditionalFormatting>
  <conditionalFormatting sqref="R161">
    <cfRule type="cellIs" dxfId="4094" priority="1681" operator="between">
      <formula>0.3751</formula>
      <formula>0.475</formula>
    </cfRule>
    <cfRule type="cellIs" dxfId="4093" priority="1682" operator="between">
      <formula>0.2551</formula>
      <formula>0.375</formula>
    </cfRule>
    <cfRule type="cellIs" dxfId="4092" priority="1683" operator="greaterThan">
      <formula>0.505</formula>
    </cfRule>
    <cfRule type="cellIs" dxfId="4091" priority="1684" operator="between">
      <formula>0.48</formula>
      <formula>0.5</formula>
    </cfRule>
    <cfRule type="cellIs" dxfId="4090" priority="1685" stopIfTrue="1" operator="between">
      <formula>0</formula>
      <formula>0.255</formula>
    </cfRule>
  </conditionalFormatting>
  <conditionalFormatting sqref="R162">
    <cfRule type="cellIs" dxfId="4089" priority="1676" operator="between">
      <formula>0.3751</formula>
      <formula>0.475</formula>
    </cfRule>
    <cfRule type="cellIs" dxfId="4088" priority="1677" operator="between">
      <formula>0.2551</formula>
      <formula>0.375</formula>
    </cfRule>
    <cfRule type="cellIs" dxfId="4087" priority="1678" operator="greaterThan">
      <formula>0.505</formula>
    </cfRule>
    <cfRule type="cellIs" dxfId="4086" priority="1679" operator="between">
      <formula>0.48</formula>
      <formula>0.5</formula>
    </cfRule>
    <cfRule type="cellIs" dxfId="4085" priority="1680" stopIfTrue="1" operator="between">
      <formula>0</formula>
      <formula>0.255</formula>
    </cfRule>
  </conditionalFormatting>
  <conditionalFormatting sqref="R163">
    <cfRule type="cellIs" dxfId="4084" priority="1671" operator="between">
      <formula>0.3751</formula>
      <formula>0.475</formula>
    </cfRule>
    <cfRule type="cellIs" dxfId="4083" priority="1672" operator="between">
      <formula>0.2551</formula>
      <formula>0.375</formula>
    </cfRule>
    <cfRule type="cellIs" dxfId="4082" priority="1673" operator="greaterThan">
      <formula>0.505</formula>
    </cfRule>
    <cfRule type="cellIs" dxfId="4081" priority="1674" operator="between">
      <formula>0.4751</formula>
      <formula>0.5</formula>
    </cfRule>
    <cfRule type="cellIs" dxfId="4080" priority="1675" stopIfTrue="1" operator="between">
      <formula>0</formula>
      <formula>0.255</formula>
    </cfRule>
  </conditionalFormatting>
  <conditionalFormatting sqref="R164">
    <cfRule type="cellIs" dxfId="4079" priority="1666" operator="between">
      <formula>0.3751</formula>
      <formula>0.475</formula>
    </cfRule>
    <cfRule type="cellIs" dxfId="4078" priority="1667" operator="between">
      <formula>0.2551</formula>
      <formula>0.375</formula>
    </cfRule>
    <cfRule type="cellIs" dxfId="4077" priority="1668" operator="greaterThan">
      <formula>0.505</formula>
    </cfRule>
    <cfRule type="cellIs" dxfId="4076" priority="1669" operator="between">
      <formula>0.48</formula>
      <formula>0.5</formula>
    </cfRule>
    <cfRule type="cellIs" dxfId="4075" priority="1670" stopIfTrue="1" operator="between">
      <formula>0</formula>
      <formula>0.255</formula>
    </cfRule>
  </conditionalFormatting>
  <conditionalFormatting sqref="R165">
    <cfRule type="cellIs" dxfId="4074" priority="1661" operator="between">
      <formula>0.3751</formula>
      <formula>0.475</formula>
    </cfRule>
    <cfRule type="cellIs" dxfId="4073" priority="1662" operator="between">
      <formula>0.2551</formula>
      <formula>0.375</formula>
    </cfRule>
    <cfRule type="cellIs" dxfId="4072" priority="1663" operator="greaterThan">
      <formula>0.505</formula>
    </cfRule>
    <cfRule type="cellIs" dxfId="4071" priority="1664" operator="between">
      <formula>0.48</formula>
      <formula>0.5</formula>
    </cfRule>
    <cfRule type="cellIs" dxfId="4070" priority="1665" stopIfTrue="1" operator="between">
      <formula>0</formula>
      <formula>0.255</formula>
    </cfRule>
  </conditionalFormatting>
  <conditionalFormatting sqref="R166">
    <cfRule type="cellIs" dxfId="4069" priority="1656" operator="between">
      <formula>0.3751</formula>
      <formula>0.475</formula>
    </cfRule>
    <cfRule type="cellIs" dxfId="4068" priority="1657" operator="between">
      <formula>0.2551</formula>
      <formula>0.375</formula>
    </cfRule>
    <cfRule type="cellIs" dxfId="4067" priority="1658" operator="greaterThan">
      <formula>0.505</formula>
    </cfRule>
    <cfRule type="cellIs" dxfId="4066" priority="1659" operator="between">
      <formula>0.48</formula>
      <formula>0.5</formula>
    </cfRule>
    <cfRule type="cellIs" dxfId="4065" priority="1660" stopIfTrue="1" operator="between">
      <formula>0</formula>
      <formula>0.255</formula>
    </cfRule>
  </conditionalFormatting>
  <conditionalFormatting sqref="R168">
    <cfRule type="cellIs" dxfId="4064" priority="1651" operator="between">
      <formula>0.3751</formula>
      <formula>0.475</formula>
    </cfRule>
    <cfRule type="cellIs" dxfId="4063" priority="1652" operator="between">
      <formula>0.2551</formula>
      <formula>0.375</formula>
    </cfRule>
    <cfRule type="cellIs" dxfId="4062" priority="1653" operator="greaterThan">
      <formula>0.505</formula>
    </cfRule>
    <cfRule type="cellIs" dxfId="4061" priority="1654" operator="between">
      <formula>0.48</formula>
      <formula>0.5</formula>
    </cfRule>
    <cfRule type="cellIs" dxfId="4060" priority="1655" stopIfTrue="1" operator="between">
      <formula>0</formula>
      <formula>0.255</formula>
    </cfRule>
  </conditionalFormatting>
  <conditionalFormatting sqref="R169">
    <cfRule type="cellIs" dxfId="4059" priority="1646" operator="between">
      <formula>0.3751</formula>
      <formula>0.475</formula>
    </cfRule>
    <cfRule type="cellIs" dxfId="4058" priority="1647" operator="between">
      <formula>0.2551</formula>
      <formula>0.375</formula>
    </cfRule>
    <cfRule type="cellIs" dxfId="4057" priority="1648" operator="greaterThan">
      <formula>0.505</formula>
    </cfRule>
    <cfRule type="cellIs" dxfId="4056" priority="1649" operator="between">
      <formula>0.48</formula>
      <formula>0.5</formula>
    </cfRule>
    <cfRule type="cellIs" dxfId="4055" priority="1650" stopIfTrue="1" operator="between">
      <formula>0</formula>
      <formula>0.255</formula>
    </cfRule>
  </conditionalFormatting>
  <conditionalFormatting sqref="R170">
    <cfRule type="cellIs" dxfId="4054" priority="1641" operator="between">
      <formula>0.3751</formula>
      <formula>0.475</formula>
    </cfRule>
    <cfRule type="cellIs" dxfId="4053" priority="1642" operator="between">
      <formula>0.2551</formula>
      <formula>0.375</formula>
    </cfRule>
    <cfRule type="cellIs" dxfId="4052" priority="1643" operator="greaterThan">
      <formula>0.505</formula>
    </cfRule>
    <cfRule type="cellIs" dxfId="4051" priority="1644" operator="between">
      <formula>0.48</formula>
      <formula>0.5</formula>
    </cfRule>
    <cfRule type="cellIs" dxfId="4050" priority="1645" stopIfTrue="1" operator="between">
      <formula>0</formula>
      <formula>0.255</formula>
    </cfRule>
  </conditionalFormatting>
  <conditionalFormatting sqref="R171">
    <cfRule type="cellIs" dxfId="4049" priority="1636" operator="between">
      <formula>0.3751</formula>
      <formula>0.475</formula>
    </cfRule>
    <cfRule type="cellIs" dxfId="4048" priority="1637" operator="between">
      <formula>0.2551</formula>
      <formula>0.375</formula>
    </cfRule>
    <cfRule type="cellIs" dxfId="4047" priority="1638" operator="greaterThan">
      <formula>0.505</formula>
    </cfRule>
    <cfRule type="cellIs" dxfId="4046" priority="1639" operator="between">
      <formula>0.48</formula>
      <formula>0.5</formula>
    </cfRule>
    <cfRule type="cellIs" dxfId="4045" priority="1640" stopIfTrue="1" operator="between">
      <formula>0</formula>
      <formula>0.255</formula>
    </cfRule>
  </conditionalFormatting>
  <conditionalFormatting sqref="R172">
    <cfRule type="cellIs" dxfId="4044" priority="1631" operator="between">
      <formula>0.3751</formula>
      <formula>0.475</formula>
    </cfRule>
    <cfRule type="cellIs" dxfId="4043" priority="1632" operator="between">
      <formula>0.2551</formula>
      <formula>0.375</formula>
    </cfRule>
    <cfRule type="cellIs" dxfId="4042" priority="1633" operator="greaterThan">
      <formula>0.505</formula>
    </cfRule>
    <cfRule type="cellIs" dxfId="4041" priority="1634" operator="between">
      <formula>0.48</formula>
      <formula>0.5</formula>
    </cfRule>
    <cfRule type="cellIs" dxfId="4040" priority="1635" stopIfTrue="1" operator="between">
      <formula>0</formula>
      <formula>0.255</formula>
    </cfRule>
  </conditionalFormatting>
  <conditionalFormatting sqref="R173">
    <cfRule type="cellIs" dxfId="4039" priority="1626" operator="between">
      <formula>0.3751</formula>
      <formula>0.475</formula>
    </cfRule>
    <cfRule type="cellIs" dxfId="4038" priority="1627" operator="between">
      <formula>0.2551</formula>
      <formula>0.375</formula>
    </cfRule>
    <cfRule type="cellIs" dxfId="4037" priority="1628" operator="greaterThan">
      <formula>0.505</formula>
    </cfRule>
    <cfRule type="cellIs" dxfId="4036" priority="1629" operator="between">
      <formula>0.48</formula>
      <formula>0.5</formula>
    </cfRule>
    <cfRule type="cellIs" dxfId="4035" priority="1630" stopIfTrue="1" operator="between">
      <formula>0</formula>
      <formula>0.255</formula>
    </cfRule>
  </conditionalFormatting>
  <conditionalFormatting sqref="R174">
    <cfRule type="cellIs" dxfId="4034" priority="1621" operator="between">
      <formula>0.3751</formula>
      <formula>0.475</formula>
    </cfRule>
    <cfRule type="cellIs" dxfId="4033" priority="1622" operator="between">
      <formula>0.2551</formula>
      <formula>0.375</formula>
    </cfRule>
    <cfRule type="cellIs" dxfId="4032" priority="1623" operator="greaterThan">
      <formula>0.505</formula>
    </cfRule>
    <cfRule type="cellIs" dxfId="4031" priority="1624" operator="between">
      <formula>0.48</formula>
      <formula>0.5</formula>
    </cfRule>
    <cfRule type="cellIs" dxfId="4030" priority="1625" stopIfTrue="1" operator="between">
      <formula>0</formula>
      <formula>0.255</formula>
    </cfRule>
  </conditionalFormatting>
  <conditionalFormatting sqref="R175">
    <cfRule type="cellIs" dxfId="4029" priority="1616" operator="between">
      <formula>0.3751</formula>
      <formula>0.475</formula>
    </cfRule>
    <cfRule type="cellIs" dxfId="4028" priority="1617" operator="between">
      <formula>0.2551</formula>
      <formula>0.375</formula>
    </cfRule>
    <cfRule type="cellIs" dxfId="4027" priority="1618" operator="greaterThan">
      <formula>0.505</formula>
    </cfRule>
    <cfRule type="cellIs" dxfId="4026" priority="1619" operator="between">
      <formula>0.48</formula>
      <formula>0.5</formula>
    </cfRule>
    <cfRule type="cellIs" dxfId="4025" priority="1620" stopIfTrue="1" operator="between">
      <formula>0</formula>
      <formula>0.255</formula>
    </cfRule>
  </conditionalFormatting>
  <conditionalFormatting sqref="R176">
    <cfRule type="cellIs" dxfId="4024" priority="1611" operator="between">
      <formula>0.3751</formula>
      <formula>0.475</formula>
    </cfRule>
    <cfRule type="cellIs" dxfId="4023" priority="1612" operator="between">
      <formula>0.2551</formula>
      <formula>0.375</formula>
    </cfRule>
    <cfRule type="cellIs" dxfId="4022" priority="1613" operator="greaterThan">
      <formula>0.505</formula>
    </cfRule>
    <cfRule type="cellIs" dxfId="4021" priority="1614" operator="between">
      <formula>0.48</formula>
      <formula>0.5</formula>
    </cfRule>
    <cfRule type="cellIs" dxfId="4020" priority="1615" stopIfTrue="1" operator="between">
      <formula>0</formula>
      <formula>0.255</formula>
    </cfRule>
  </conditionalFormatting>
  <conditionalFormatting sqref="R179">
    <cfRule type="cellIs" dxfId="4019" priority="1606" operator="between">
      <formula>0.3751</formula>
      <formula>0.475</formula>
    </cfRule>
    <cfRule type="cellIs" dxfId="4018" priority="1607" operator="between">
      <formula>0.2551</formula>
      <formula>0.375</formula>
    </cfRule>
    <cfRule type="cellIs" dxfId="4017" priority="1608" operator="greaterThan">
      <formula>0.505</formula>
    </cfRule>
    <cfRule type="cellIs" dxfId="4016" priority="1609" operator="between">
      <formula>0.48</formula>
      <formula>0.5</formula>
    </cfRule>
    <cfRule type="cellIs" dxfId="4015" priority="1610" stopIfTrue="1" operator="between">
      <formula>0</formula>
      <formula>0.255</formula>
    </cfRule>
  </conditionalFormatting>
  <conditionalFormatting sqref="R180">
    <cfRule type="cellIs" dxfId="4014" priority="1601" operator="between">
      <formula>0.3751</formula>
      <formula>0.475</formula>
    </cfRule>
    <cfRule type="cellIs" dxfId="4013" priority="1602" operator="between">
      <formula>0.2551</formula>
      <formula>0.375</formula>
    </cfRule>
    <cfRule type="cellIs" dxfId="4012" priority="1603" operator="greaterThan">
      <formula>0.505</formula>
    </cfRule>
    <cfRule type="cellIs" dxfId="4011" priority="1604" operator="between">
      <formula>0.48</formula>
      <formula>0.5</formula>
    </cfRule>
    <cfRule type="cellIs" dxfId="4010" priority="1605" stopIfTrue="1" operator="between">
      <formula>0</formula>
      <formula>0.255</formula>
    </cfRule>
  </conditionalFormatting>
  <conditionalFormatting sqref="R181">
    <cfRule type="cellIs" dxfId="4009" priority="1596" operator="between">
      <formula>0.3751</formula>
      <formula>0.475</formula>
    </cfRule>
    <cfRule type="cellIs" dxfId="4008" priority="1597" operator="between">
      <formula>0.2551</formula>
      <formula>0.375</formula>
    </cfRule>
    <cfRule type="cellIs" dxfId="4007" priority="1598" operator="greaterThan">
      <formula>0.505</formula>
    </cfRule>
    <cfRule type="cellIs" dxfId="4006" priority="1599" operator="between">
      <formula>0.48</formula>
      <formula>0.5</formula>
    </cfRule>
    <cfRule type="cellIs" dxfId="4005" priority="1600" stopIfTrue="1" operator="between">
      <formula>0</formula>
      <formula>0.255</formula>
    </cfRule>
  </conditionalFormatting>
  <conditionalFormatting sqref="R182">
    <cfRule type="cellIs" dxfId="4004" priority="1591" operator="between">
      <formula>0.3751</formula>
      <formula>0.475</formula>
    </cfRule>
    <cfRule type="cellIs" dxfId="4003" priority="1592" operator="between">
      <formula>0.2551</formula>
      <formula>0.375</formula>
    </cfRule>
    <cfRule type="cellIs" dxfId="4002" priority="1593" operator="greaterThan">
      <formula>0.505</formula>
    </cfRule>
    <cfRule type="cellIs" dxfId="4001" priority="1594" operator="between">
      <formula>0.48</formula>
      <formula>0.5</formula>
    </cfRule>
    <cfRule type="cellIs" dxfId="4000" priority="1595" stopIfTrue="1" operator="between">
      <formula>0</formula>
      <formula>0.255</formula>
    </cfRule>
  </conditionalFormatting>
  <conditionalFormatting sqref="R183">
    <cfRule type="cellIs" dxfId="3999" priority="1586" operator="between">
      <formula>0.3751</formula>
      <formula>0.475</formula>
    </cfRule>
    <cfRule type="cellIs" dxfId="3998" priority="1587" operator="between">
      <formula>0.2551</formula>
      <formula>0.375</formula>
    </cfRule>
    <cfRule type="cellIs" dxfId="3997" priority="1588" operator="greaterThan">
      <formula>0.505</formula>
    </cfRule>
    <cfRule type="cellIs" dxfId="3996" priority="1589" operator="between">
      <formula>0.48</formula>
      <formula>0.5</formula>
    </cfRule>
    <cfRule type="cellIs" dxfId="3995" priority="1590" stopIfTrue="1" operator="between">
      <formula>0</formula>
      <formula>0.255</formula>
    </cfRule>
  </conditionalFormatting>
  <conditionalFormatting sqref="R184">
    <cfRule type="cellIs" dxfId="3994" priority="1581" operator="between">
      <formula>0.3751</formula>
      <formula>0.475</formula>
    </cfRule>
    <cfRule type="cellIs" dxfId="3993" priority="1582" operator="between">
      <formula>0.2551</formula>
      <formula>0.375</formula>
    </cfRule>
    <cfRule type="cellIs" dxfId="3992" priority="1583" operator="greaterThan">
      <formula>0.505</formula>
    </cfRule>
    <cfRule type="cellIs" dxfId="3991" priority="1584" operator="between">
      <formula>0.48</formula>
      <formula>0.5</formula>
    </cfRule>
    <cfRule type="cellIs" dxfId="3990" priority="1585" stopIfTrue="1" operator="between">
      <formula>0</formula>
      <formula>0.255</formula>
    </cfRule>
  </conditionalFormatting>
  <conditionalFormatting sqref="R185">
    <cfRule type="cellIs" dxfId="3989" priority="1576" operator="between">
      <formula>0.3751</formula>
      <formula>0.475</formula>
    </cfRule>
    <cfRule type="cellIs" dxfId="3988" priority="1577" operator="between">
      <formula>0.2551</formula>
      <formula>0.375</formula>
    </cfRule>
    <cfRule type="cellIs" dxfId="3987" priority="1578" operator="greaterThan">
      <formula>0.505</formula>
    </cfRule>
    <cfRule type="cellIs" dxfId="3986" priority="1579" operator="between">
      <formula>0.48</formula>
      <formula>0.5</formula>
    </cfRule>
    <cfRule type="cellIs" dxfId="3985" priority="1580" stopIfTrue="1" operator="between">
      <formula>0</formula>
      <formula>0.255</formula>
    </cfRule>
  </conditionalFormatting>
  <conditionalFormatting sqref="R186">
    <cfRule type="cellIs" dxfId="3984" priority="1571" operator="between">
      <formula>0.3751</formula>
      <formula>0.475</formula>
    </cfRule>
    <cfRule type="cellIs" dxfId="3983" priority="1572" operator="between">
      <formula>0.2551</formula>
      <formula>0.375</formula>
    </cfRule>
    <cfRule type="cellIs" dxfId="3982" priority="1573" operator="greaterThan">
      <formula>0.505</formula>
    </cfRule>
    <cfRule type="cellIs" dxfId="3981" priority="1574" operator="between">
      <formula>0.48</formula>
      <formula>0.5</formula>
    </cfRule>
    <cfRule type="cellIs" dxfId="3980" priority="1575" stopIfTrue="1" operator="between">
      <formula>0</formula>
      <formula>0.255</formula>
    </cfRule>
  </conditionalFormatting>
  <conditionalFormatting sqref="R187">
    <cfRule type="cellIs" dxfId="3979" priority="1566" operator="between">
      <formula>0.3751</formula>
      <formula>0.475</formula>
    </cfRule>
    <cfRule type="cellIs" dxfId="3978" priority="1567" operator="between">
      <formula>0.2551</formula>
      <formula>0.375</formula>
    </cfRule>
    <cfRule type="cellIs" dxfId="3977" priority="1568" operator="greaterThan">
      <formula>0.505</formula>
    </cfRule>
    <cfRule type="cellIs" dxfId="3976" priority="1569" operator="between">
      <formula>0.48</formula>
      <formula>0.5</formula>
    </cfRule>
    <cfRule type="cellIs" dxfId="3975" priority="1570" stopIfTrue="1" operator="between">
      <formula>0</formula>
      <formula>0.255</formula>
    </cfRule>
  </conditionalFormatting>
  <conditionalFormatting sqref="R188">
    <cfRule type="cellIs" dxfId="3974" priority="1561" operator="between">
      <formula>0.3751</formula>
      <formula>0.475</formula>
    </cfRule>
    <cfRule type="cellIs" dxfId="3973" priority="1562" operator="between">
      <formula>0.2551</formula>
      <formula>0.375</formula>
    </cfRule>
    <cfRule type="cellIs" dxfId="3972" priority="1563" operator="greaterThan">
      <formula>0.505</formula>
    </cfRule>
    <cfRule type="cellIs" dxfId="3971" priority="1564" operator="between">
      <formula>0.48</formula>
      <formula>0.5</formula>
    </cfRule>
    <cfRule type="cellIs" dxfId="3970" priority="1565" stopIfTrue="1" operator="between">
      <formula>0</formula>
      <formula>0.255</formula>
    </cfRule>
  </conditionalFormatting>
  <conditionalFormatting sqref="R189">
    <cfRule type="cellIs" dxfId="3969" priority="1556" operator="between">
      <formula>0.3751</formula>
      <formula>0.475</formula>
    </cfRule>
    <cfRule type="cellIs" dxfId="3968" priority="1557" operator="between">
      <formula>0.2551</formula>
      <formula>0.375</formula>
    </cfRule>
    <cfRule type="cellIs" dxfId="3967" priority="1558" operator="greaterThan">
      <formula>0.505</formula>
    </cfRule>
    <cfRule type="cellIs" dxfId="3966" priority="1559" operator="between">
      <formula>0.48</formula>
      <formula>0.5</formula>
    </cfRule>
    <cfRule type="cellIs" dxfId="3965" priority="1560" stopIfTrue="1" operator="between">
      <formula>0</formula>
      <formula>0.255</formula>
    </cfRule>
  </conditionalFormatting>
  <conditionalFormatting sqref="R190">
    <cfRule type="cellIs" dxfId="3964" priority="1551" operator="between">
      <formula>0.3751</formula>
      <formula>0.475</formula>
    </cfRule>
    <cfRule type="cellIs" dxfId="3963" priority="1552" operator="between">
      <formula>0.2551</formula>
      <formula>0.375</formula>
    </cfRule>
    <cfRule type="cellIs" dxfId="3962" priority="1553" operator="greaterThan">
      <formula>0.505</formula>
    </cfRule>
    <cfRule type="cellIs" dxfId="3961" priority="1554" operator="between">
      <formula>0.48</formula>
      <formula>0.5</formula>
    </cfRule>
    <cfRule type="cellIs" dxfId="3960" priority="1555" stopIfTrue="1" operator="between">
      <formula>0</formula>
      <formula>0.255</formula>
    </cfRule>
  </conditionalFormatting>
  <conditionalFormatting sqref="R191">
    <cfRule type="cellIs" dxfId="3959" priority="1546" operator="between">
      <formula>0.3751</formula>
      <formula>0.475</formula>
    </cfRule>
    <cfRule type="cellIs" dxfId="3958" priority="1547" operator="between">
      <formula>0.2551</formula>
      <formula>0.375</formula>
    </cfRule>
    <cfRule type="cellIs" dxfId="3957" priority="1548" operator="greaterThan">
      <formula>0.505</formula>
    </cfRule>
    <cfRule type="cellIs" dxfId="3956" priority="1549" operator="between">
      <formula>0.48</formula>
      <formula>0.5</formula>
    </cfRule>
    <cfRule type="cellIs" dxfId="3955" priority="1550" stopIfTrue="1" operator="between">
      <formula>0</formula>
      <formula>0.255</formula>
    </cfRule>
  </conditionalFormatting>
  <conditionalFormatting sqref="R192">
    <cfRule type="cellIs" dxfId="3954" priority="1541" operator="between">
      <formula>0.3751</formula>
      <formula>0.475</formula>
    </cfRule>
    <cfRule type="cellIs" dxfId="3953" priority="1542" operator="between">
      <formula>0.2551</formula>
      <formula>0.375</formula>
    </cfRule>
    <cfRule type="cellIs" dxfId="3952" priority="1543" operator="greaterThan">
      <formula>0.505</formula>
    </cfRule>
    <cfRule type="cellIs" dxfId="3951" priority="1544" operator="between">
      <formula>0.48</formula>
      <formula>0.5</formula>
    </cfRule>
    <cfRule type="cellIs" dxfId="3950" priority="1545" stopIfTrue="1" operator="between">
      <formula>0</formula>
      <formula>0.255</formula>
    </cfRule>
  </conditionalFormatting>
  <conditionalFormatting sqref="R193">
    <cfRule type="cellIs" dxfId="3949" priority="1536" operator="between">
      <formula>0.3751</formula>
      <formula>0.475</formula>
    </cfRule>
    <cfRule type="cellIs" dxfId="3948" priority="1537" operator="between">
      <formula>0.2551</formula>
      <formula>0.375</formula>
    </cfRule>
    <cfRule type="cellIs" dxfId="3947" priority="1538" operator="greaterThan">
      <formula>0.505</formula>
    </cfRule>
    <cfRule type="cellIs" dxfId="3946" priority="1539" operator="between">
      <formula>0.48</formula>
      <formula>0.5</formula>
    </cfRule>
    <cfRule type="cellIs" dxfId="3945" priority="1540" stopIfTrue="1" operator="between">
      <formula>0</formula>
      <formula>0.255</formula>
    </cfRule>
  </conditionalFormatting>
  <conditionalFormatting sqref="R194">
    <cfRule type="cellIs" dxfId="3944" priority="1531" operator="between">
      <formula>0.3751</formula>
      <formula>0.475</formula>
    </cfRule>
    <cfRule type="cellIs" dxfId="3943" priority="1532" operator="between">
      <formula>0.2551</formula>
      <formula>0.375</formula>
    </cfRule>
    <cfRule type="cellIs" dxfId="3942" priority="1533" operator="greaterThan">
      <formula>0.505</formula>
    </cfRule>
    <cfRule type="cellIs" dxfId="3941" priority="1534" operator="between">
      <formula>0.48</formula>
      <formula>0.5</formula>
    </cfRule>
    <cfRule type="cellIs" dxfId="3940" priority="1535" stopIfTrue="1" operator="between">
      <formula>0</formula>
      <formula>0.255</formula>
    </cfRule>
  </conditionalFormatting>
  <conditionalFormatting sqref="R195">
    <cfRule type="cellIs" dxfId="3939" priority="1526" operator="between">
      <formula>0.3751</formula>
      <formula>0.475</formula>
    </cfRule>
    <cfRule type="cellIs" dxfId="3938" priority="1527" operator="between">
      <formula>0.2551</formula>
      <formula>0.375</formula>
    </cfRule>
    <cfRule type="cellIs" dxfId="3937" priority="1528" operator="greaterThan">
      <formula>0.505</formula>
    </cfRule>
    <cfRule type="cellIs" dxfId="3936" priority="1529" operator="between">
      <formula>0.48</formula>
      <formula>0.5</formula>
    </cfRule>
    <cfRule type="cellIs" dxfId="3935" priority="1530" stopIfTrue="1" operator="between">
      <formula>0</formula>
      <formula>0.255</formula>
    </cfRule>
  </conditionalFormatting>
  <conditionalFormatting sqref="R196">
    <cfRule type="cellIs" dxfId="3934" priority="1521" operator="between">
      <formula>0.3751</formula>
      <formula>0.475</formula>
    </cfRule>
    <cfRule type="cellIs" dxfId="3933" priority="1522" operator="between">
      <formula>0.2551</formula>
      <formula>0.375</formula>
    </cfRule>
    <cfRule type="cellIs" dxfId="3932" priority="1523" operator="greaterThan">
      <formula>0.505</formula>
    </cfRule>
    <cfRule type="cellIs" dxfId="3931" priority="1524" operator="between">
      <formula>0.48</formula>
      <formula>0.5</formula>
    </cfRule>
    <cfRule type="cellIs" dxfId="3930" priority="1525" stopIfTrue="1" operator="between">
      <formula>0</formula>
      <formula>0.255</formula>
    </cfRule>
  </conditionalFormatting>
  <conditionalFormatting sqref="R197">
    <cfRule type="cellIs" dxfId="3929" priority="1516" operator="between">
      <formula>0.3751</formula>
      <formula>0.475</formula>
    </cfRule>
    <cfRule type="cellIs" dxfId="3928" priority="1517" operator="between">
      <formula>0.2551</formula>
      <formula>0.375</formula>
    </cfRule>
    <cfRule type="cellIs" dxfId="3927" priority="1518" operator="greaterThan">
      <formula>0.505</formula>
    </cfRule>
    <cfRule type="cellIs" dxfId="3926" priority="1519" operator="between">
      <formula>0.48</formula>
      <formula>0.5</formula>
    </cfRule>
    <cfRule type="cellIs" dxfId="3925" priority="1520" stopIfTrue="1" operator="between">
      <formula>0</formula>
      <formula>0.255</formula>
    </cfRule>
  </conditionalFormatting>
  <conditionalFormatting sqref="R198">
    <cfRule type="cellIs" dxfId="3924" priority="1511" operator="between">
      <formula>0.3751</formula>
      <formula>0.475</formula>
    </cfRule>
    <cfRule type="cellIs" dxfId="3923" priority="1512" operator="between">
      <formula>0.2551</formula>
      <formula>0.375</formula>
    </cfRule>
    <cfRule type="cellIs" dxfId="3922" priority="1513" operator="greaterThan">
      <formula>0.505</formula>
    </cfRule>
    <cfRule type="cellIs" dxfId="3921" priority="1514" operator="between">
      <formula>0.48</formula>
      <formula>0.5</formula>
    </cfRule>
    <cfRule type="cellIs" dxfId="3920" priority="1515" stopIfTrue="1" operator="between">
      <formula>0</formula>
      <formula>0.255</formula>
    </cfRule>
  </conditionalFormatting>
  <conditionalFormatting sqref="R199">
    <cfRule type="cellIs" dxfId="3919" priority="1506" operator="between">
      <formula>0.3751</formula>
      <formula>0.475</formula>
    </cfRule>
    <cfRule type="cellIs" dxfId="3918" priority="1507" operator="between">
      <formula>0.2551</formula>
      <formula>0.375</formula>
    </cfRule>
    <cfRule type="cellIs" dxfId="3917" priority="1508" operator="greaterThan">
      <formula>0.505</formula>
    </cfRule>
    <cfRule type="cellIs" dxfId="3916" priority="1509" operator="between">
      <formula>0.48</formula>
      <formula>0.5</formula>
    </cfRule>
    <cfRule type="cellIs" dxfId="3915" priority="1510" stopIfTrue="1" operator="between">
      <formula>0</formula>
      <formula>0.255</formula>
    </cfRule>
  </conditionalFormatting>
  <conditionalFormatting sqref="R200">
    <cfRule type="cellIs" dxfId="3914" priority="1501" operator="between">
      <formula>0.3751</formula>
      <formula>0.475</formula>
    </cfRule>
    <cfRule type="cellIs" dxfId="3913" priority="1502" operator="between">
      <formula>0.2551</formula>
      <formula>0.375</formula>
    </cfRule>
    <cfRule type="cellIs" dxfId="3912" priority="1503" operator="greaterThan">
      <formula>0.505</formula>
    </cfRule>
    <cfRule type="cellIs" dxfId="3911" priority="1504" operator="between">
      <formula>0.48</formula>
      <formula>0.5</formula>
    </cfRule>
    <cfRule type="cellIs" dxfId="3910" priority="1505" stopIfTrue="1" operator="between">
      <formula>0</formula>
      <formula>0.255</formula>
    </cfRule>
  </conditionalFormatting>
  <conditionalFormatting sqref="R201">
    <cfRule type="cellIs" dxfId="3909" priority="1496" operator="between">
      <formula>0.3751</formula>
      <formula>0.475</formula>
    </cfRule>
    <cfRule type="cellIs" dxfId="3908" priority="1497" operator="between">
      <formula>0.2551</formula>
      <formula>0.375</formula>
    </cfRule>
    <cfRule type="cellIs" dxfId="3907" priority="1498" operator="greaterThan">
      <formula>0.505</formula>
    </cfRule>
    <cfRule type="cellIs" dxfId="3906" priority="1499" operator="between">
      <formula>0.48</formula>
      <formula>0.5</formula>
    </cfRule>
    <cfRule type="cellIs" dxfId="3905" priority="1500" stopIfTrue="1" operator="between">
      <formula>0</formula>
      <formula>0.255</formula>
    </cfRule>
  </conditionalFormatting>
  <conditionalFormatting sqref="R202">
    <cfRule type="cellIs" dxfId="3904" priority="1491" operator="between">
      <formula>0.3751</formula>
      <formula>0.475</formula>
    </cfRule>
    <cfRule type="cellIs" dxfId="3903" priority="1492" operator="between">
      <formula>0.2551</formula>
      <formula>0.375</formula>
    </cfRule>
    <cfRule type="cellIs" dxfId="3902" priority="1493" operator="greaterThan">
      <formula>0.505</formula>
    </cfRule>
    <cfRule type="cellIs" dxfId="3901" priority="1494" operator="between">
      <formula>0.48</formula>
      <formula>0.5</formula>
    </cfRule>
    <cfRule type="cellIs" dxfId="3900" priority="1495" stopIfTrue="1" operator="between">
      <formula>0</formula>
      <formula>0.255</formula>
    </cfRule>
  </conditionalFormatting>
  <conditionalFormatting sqref="R204">
    <cfRule type="cellIs" dxfId="3899" priority="1486" operator="between">
      <formula>0.3751</formula>
      <formula>0.475</formula>
    </cfRule>
    <cfRule type="cellIs" dxfId="3898" priority="1487" operator="between">
      <formula>0.2551</formula>
      <formula>0.375</formula>
    </cfRule>
    <cfRule type="cellIs" dxfId="3897" priority="1488" operator="greaterThan">
      <formula>0.505</formula>
    </cfRule>
    <cfRule type="cellIs" dxfId="3896" priority="1489" operator="between">
      <formula>0.48</formula>
      <formula>0.5</formula>
    </cfRule>
    <cfRule type="cellIs" dxfId="3895" priority="1490" stopIfTrue="1" operator="between">
      <formula>0</formula>
      <formula>0.255</formula>
    </cfRule>
  </conditionalFormatting>
  <conditionalFormatting sqref="R205">
    <cfRule type="cellIs" dxfId="3894" priority="1481" operator="between">
      <formula>0.3751</formula>
      <formula>0.475</formula>
    </cfRule>
    <cfRule type="cellIs" dxfId="3893" priority="1482" operator="between">
      <formula>0.2551</formula>
      <formula>0.375</formula>
    </cfRule>
    <cfRule type="cellIs" dxfId="3892" priority="1483" operator="greaterThan">
      <formula>0.505</formula>
    </cfRule>
    <cfRule type="cellIs" dxfId="3891" priority="1484" operator="between">
      <formula>0.48</formula>
      <formula>0.5</formula>
    </cfRule>
    <cfRule type="cellIs" dxfId="3890" priority="1485" stopIfTrue="1" operator="between">
      <formula>0</formula>
      <formula>0.255</formula>
    </cfRule>
  </conditionalFormatting>
  <conditionalFormatting sqref="R207">
    <cfRule type="cellIs" dxfId="3889" priority="1476" operator="between">
      <formula>0.3751</formula>
      <formula>0.475</formula>
    </cfRule>
    <cfRule type="cellIs" dxfId="3888" priority="1477" operator="between">
      <formula>0.2551</formula>
      <formula>0.375</formula>
    </cfRule>
    <cfRule type="cellIs" dxfId="3887" priority="1478" operator="greaterThan">
      <formula>0.505</formula>
    </cfRule>
    <cfRule type="cellIs" dxfId="3886" priority="1479" operator="between">
      <formula>0.48</formula>
      <formula>0.5</formula>
    </cfRule>
    <cfRule type="cellIs" dxfId="3885" priority="1480" stopIfTrue="1" operator="between">
      <formula>0</formula>
      <formula>0.255</formula>
    </cfRule>
  </conditionalFormatting>
  <conditionalFormatting sqref="R208">
    <cfRule type="cellIs" dxfId="3884" priority="1471" operator="between">
      <formula>0.3751</formula>
      <formula>0.475</formula>
    </cfRule>
    <cfRule type="cellIs" dxfId="3883" priority="1472" operator="between">
      <formula>0.2551</formula>
      <formula>0.375</formula>
    </cfRule>
    <cfRule type="cellIs" dxfId="3882" priority="1473" operator="greaterThan">
      <formula>0.505</formula>
    </cfRule>
    <cfRule type="cellIs" dxfId="3881" priority="1474" operator="between">
      <formula>0.48</formula>
      <formula>0.5</formula>
    </cfRule>
    <cfRule type="cellIs" dxfId="3880" priority="1475" stopIfTrue="1" operator="between">
      <formula>0</formula>
      <formula>0.255</formula>
    </cfRule>
  </conditionalFormatting>
  <conditionalFormatting sqref="R209">
    <cfRule type="cellIs" dxfId="3879" priority="1466" operator="between">
      <formula>0.3751</formula>
      <formula>0.475</formula>
    </cfRule>
    <cfRule type="cellIs" dxfId="3878" priority="1467" operator="between">
      <formula>0.2551</formula>
      <formula>0.375</formula>
    </cfRule>
    <cfRule type="cellIs" dxfId="3877" priority="1468" operator="greaterThan">
      <formula>0.505</formula>
    </cfRule>
    <cfRule type="cellIs" dxfId="3876" priority="1469" operator="between">
      <formula>0.48</formula>
      <formula>0.5</formula>
    </cfRule>
    <cfRule type="cellIs" dxfId="3875" priority="1470" stopIfTrue="1" operator="between">
      <formula>0</formula>
      <formula>0.255</formula>
    </cfRule>
  </conditionalFormatting>
  <conditionalFormatting sqref="R211">
    <cfRule type="cellIs" dxfId="3874" priority="1461" operator="between">
      <formula>0.3751</formula>
      <formula>0.475</formula>
    </cfRule>
    <cfRule type="cellIs" dxfId="3873" priority="1462" operator="between">
      <formula>0.2551</formula>
      <formula>0.375</formula>
    </cfRule>
    <cfRule type="cellIs" dxfId="3872" priority="1463" operator="greaterThan">
      <formula>0.505</formula>
    </cfRule>
    <cfRule type="cellIs" dxfId="3871" priority="1464" operator="between">
      <formula>0.48</formula>
      <formula>0.5</formula>
    </cfRule>
    <cfRule type="cellIs" dxfId="3870" priority="1465" stopIfTrue="1" operator="between">
      <formula>0</formula>
      <formula>0.255</formula>
    </cfRule>
  </conditionalFormatting>
  <conditionalFormatting sqref="R212">
    <cfRule type="cellIs" dxfId="3869" priority="1456" operator="between">
      <formula>0.3751</formula>
      <formula>0.475</formula>
    </cfRule>
    <cfRule type="cellIs" dxfId="3868" priority="1457" operator="between">
      <formula>0.2551</formula>
      <formula>0.375</formula>
    </cfRule>
    <cfRule type="cellIs" dxfId="3867" priority="1458" operator="greaterThan">
      <formula>0.505</formula>
    </cfRule>
    <cfRule type="cellIs" dxfId="3866" priority="1459" operator="between">
      <formula>0.48</formula>
      <formula>0.5</formula>
    </cfRule>
    <cfRule type="cellIs" dxfId="3865" priority="1460" stopIfTrue="1" operator="between">
      <formula>0</formula>
      <formula>0.255</formula>
    </cfRule>
  </conditionalFormatting>
  <conditionalFormatting sqref="R213">
    <cfRule type="cellIs" dxfId="3864" priority="1451" operator="between">
      <formula>0.3751</formula>
      <formula>0.475</formula>
    </cfRule>
    <cfRule type="cellIs" dxfId="3863" priority="1452" operator="between">
      <formula>0.2551</formula>
      <formula>0.375</formula>
    </cfRule>
    <cfRule type="cellIs" dxfId="3862" priority="1453" operator="greaterThan">
      <formula>0.505</formula>
    </cfRule>
    <cfRule type="cellIs" dxfId="3861" priority="1454" operator="between">
      <formula>0.48</formula>
      <formula>0.5</formula>
    </cfRule>
    <cfRule type="cellIs" dxfId="3860" priority="1455" stopIfTrue="1" operator="between">
      <formula>0</formula>
      <formula>0.255</formula>
    </cfRule>
  </conditionalFormatting>
  <conditionalFormatting sqref="R214">
    <cfRule type="cellIs" dxfId="3859" priority="1446" operator="between">
      <formula>0.3751</formula>
      <formula>0.475</formula>
    </cfRule>
    <cfRule type="cellIs" dxfId="3858" priority="1447" operator="between">
      <formula>0.2551</formula>
      <formula>0.375</formula>
    </cfRule>
    <cfRule type="cellIs" dxfId="3857" priority="1448" operator="greaterThan">
      <formula>0.505</formula>
    </cfRule>
    <cfRule type="cellIs" dxfId="3856" priority="1449" operator="between">
      <formula>0.48</formula>
      <formula>0.5</formula>
    </cfRule>
    <cfRule type="cellIs" dxfId="3855" priority="1450" stopIfTrue="1" operator="between">
      <formula>0</formula>
      <formula>0.255</formula>
    </cfRule>
  </conditionalFormatting>
  <conditionalFormatting sqref="R215">
    <cfRule type="cellIs" dxfId="3854" priority="1441" operator="between">
      <formula>0.3751</formula>
      <formula>0.475</formula>
    </cfRule>
    <cfRule type="cellIs" dxfId="3853" priority="1442" operator="between">
      <formula>0.2551</formula>
      <formula>0.375</formula>
    </cfRule>
    <cfRule type="cellIs" dxfId="3852" priority="1443" operator="greaterThan">
      <formula>0.505</formula>
    </cfRule>
    <cfRule type="cellIs" dxfId="3851" priority="1444" operator="between">
      <formula>0.48</formula>
      <formula>0.5</formula>
    </cfRule>
    <cfRule type="cellIs" dxfId="3850" priority="1445" stopIfTrue="1" operator="between">
      <formula>0</formula>
      <formula>0.255</formula>
    </cfRule>
  </conditionalFormatting>
  <conditionalFormatting sqref="R216">
    <cfRule type="cellIs" dxfId="3849" priority="1436" operator="between">
      <formula>0.3751</formula>
      <formula>0.475</formula>
    </cfRule>
    <cfRule type="cellIs" dxfId="3848" priority="1437" operator="between">
      <formula>0.2551</formula>
      <formula>0.375</formula>
    </cfRule>
    <cfRule type="cellIs" dxfId="3847" priority="1438" operator="greaterThan">
      <formula>0.505</formula>
    </cfRule>
    <cfRule type="cellIs" dxfId="3846" priority="1439" operator="between">
      <formula>0.48</formula>
      <formula>0.5</formula>
    </cfRule>
    <cfRule type="cellIs" dxfId="3845" priority="1440" stopIfTrue="1" operator="between">
      <formula>0</formula>
      <formula>0.255</formula>
    </cfRule>
  </conditionalFormatting>
  <conditionalFormatting sqref="R217">
    <cfRule type="cellIs" dxfId="3844" priority="1431" operator="between">
      <formula>0.3751</formula>
      <formula>0.475</formula>
    </cfRule>
    <cfRule type="cellIs" dxfId="3843" priority="1432" operator="between">
      <formula>0.2551</formula>
      <formula>0.375</formula>
    </cfRule>
    <cfRule type="cellIs" dxfId="3842" priority="1433" operator="greaterThan">
      <formula>0.505</formula>
    </cfRule>
    <cfRule type="cellIs" dxfId="3841" priority="1434" operator="between">
      <formula>0.48</formula>
      <formula>0.5</formula>
    </cfRule>
    <cfRule type="cellIs" dxfId="3840" priority="1435" stopIfTrue="1" operator="between">
      <formula>0</formula>
      <formula>0.255</formula>
    </cfRule>
  </conditionalFormatting>
  <conditionalFormatting sqref="R220">
    <cfRule type="cellIs" dxfId="3839" priority="1426" operator="between">
      <formula>0.3751</formula>
      <formula>0.475</formula>
    </cfRule>
    <cfRule type="cellIs" dxfId="3838" priority="1427" operator="between">
      <formula>0.2551</formula>
      <formula>0.375</formula>
    </cfRule>
    <cfRule type="cellIs" dxfId="3837" priority="1428" operator="greaterThan">
      <formula>0.505</formula>
    </cfRule>
    <cfRule type="cellIs" dxfId="3836" priority="1429" operator="between">
      <formula>0.48</formula>
      <formula>0.5</formula>
    </cfRule>
    <cfRule type="cellIs" dxfId="3835" priority="1430" stopIfTrue="1" operator="between">
      <formula>0</formula>
      <formula>0.255</formula>
    </cfRule>
  </conditionalFormatting>
  <conditionalFormatting sqref="R221">
    <cfRule type="cellIs" dxfId="3834" priority="1421" operator="between">
      <formula>0.3751</formula>
      <formula>0.475</formula>
    </cfRule>
    <cfRule type="cellIs" dxfId="3833" priority="1422" operator="between">
      <formula>0.2551</formula>
      <formula>0.375</formula>
    </cfRule>
    <cfRule type="cellIs" dxfId="3832" priority="1423" operator="greaterThan">
      <formula>0.505</formula>
    </cfRule>
    <cfRule type="cellIs" dxfId="3831" priority="1424" operator="between">
      <formula>0.48</formula>
      <formula>0.5</formula>
    </cfRule>
    <cfRule type="cellIs" dxfId="3830" priority="1425" stopIfTrue="1" operator="between">
      <formula>0</formula>
      <formula>0.255</formula>
    </cfRule>
  </conditionalFormatting>
  <conditionalFormatting sqref="R222">
    <cfRule type="cellIs" dxfId="3829" priority="1416" operator="between">
      <formula>0.3751</formula>
      <formula>0.475</formula>
    </cfRule>
    <cfRule type="cellIs" dxfId="3828" priority="1417" operator="between">
      <formula>0.2551</formula>
      <formula>0.375</formula>
    </cfRule>
    <cfRule type="cellIs" dxfId="3827" priority="1418" operator="greaterThan">
      <formula>0.505</formula>
    </cfRule>
    <cfRule type="cellIs" dxfId="3826" priority="1419" operator="between">
      <formula>0.48</formula>
      <formula>0.5</formula>
    </cfRule>
    <cfRule type="cellIs" dxfId="3825" priority="1420" stopIfTrue="1" operator="between">
      <formula>0</formula>
      <formula>0.255</formula>
    </cfRule>
  </conditionalFormatting>
  <conditionalFormatting sqref="R218">
    <cfRule type="cellIs" dxfId="3824" priority="1411" operator="between">
      <formula>0.3751</formula>
      <formula>0.475</formula>
    </cfRule>
    <cfRule type="cellIs" dxfId="3823" priority="1412" operator="between">
      <formula>0.2551</formula>
      <formula>0.375</formula>
    </cfRule>
    <cfRule type="cellIs" dxfId="3822" priority="1413" operator="greaterThan">
      <formula>0.505</formula>
    </cfRule>
    <cfRule type="cellIs" dxfId="3821" priority="1414" operator="between">
      <formula>0.4751</formula>
      <formula>0.5</formula>
    </cfRule>
    <cfRule type="cellIs" dxfId="3820" priority="1415" stopIfTrue="1" operator="between">
      <formula>0</formula>
      <formula>0.255</formula>
    </cfRule>
  </conditionalFormatting>
  <conditionalFormatting sqref="R210">
    <cfRule type="cellIs" dxfId="3819" priority="1406" operator="between">
      <formula>0.3751</formula>
      <formula>0.475</formula>
    </cfRule>
    <cfRule type="cellIs" dxfId="3818" priority="1407" operator="between">
      <formula>0.2551</formula>
      <formula>0.375</formula>
    </cfRule>
    <cfRule type="cellIs" dxfId="3817" priority="1408" operator="greaterThan">
      <formula>0.505</formula>
    </cfRule>
    <cfRule type="cellIs" dxfId="3816" priority="1409" operator="between">
      <formula>0.4751</formula>
      <formula>0.5</formula>
    </cfRule>
    <cfRule type="cellIs" dxfId="3815" priority="1410" stopIfTrue="1" operator="between">
      <formula>0</formula>
      <formula>0.255</formula>
    </cfRule>
  </conditionalFormatting>
  <conditionalFormatting sqref="R206">
    <cfRule type="cellIs" dxfId="3814" priority="1401" operator="between">
      <formula>0.3751</formula>
      <formula>0.475</formula>
    </cfRule>
    <cfRule type="cellIs" dxfId="3813" priority="1402" operator="between">
      <formula>0.2551</formula>
      <formula>0.375</formula>
    </cfRule>
    <cfRule type="cellIs" dxfId="3812" priority="1403" operator="greaterThan">
      <formula>0.505</formula>
    </cfRule>
    <cfRule type="cellIs" dxfId="3811" priority="1404" operator="between">
      <formula>0.4751</formula>
      <formula>0.5</formula>
    </cfRule>
    <cfRule type="cellIs" dxfId="3810" priority="1405" stopIfTrue="1" operator="between">
      <formula>0</formula>
      <formula>0.255</formula>
    </cfRule>
  </conditionalFormatting>
  <conditionalFormatting sqref="R203">
    <cfRule type="cellIs" dxfId="3809" priority="1396" operator="between">
      <formula>0.3751</formula>
      <formula>0.475</formula>
    </cfRule>
    <cfRule type="cellIs" dxfId="3808" priority="1397" operator="between">
      <formula>0.2551</formula>
      <formula>0.375</formula>
    </cfRule>
    <cfRule type="cellIs" dxfId="3807" priority="1398" operator="greaterThan">
      <formula>0.505</formula>
    </cfRule>
    <cfRule type="cellIs" dxfId="3806" priority="1399" operator="between">
      <formula>0.4751</formula>
      <formula>0.5</formula>
    </cfRule>
    <cfRule type="cellIs" dxfId="3805" priority="1400" stopIfTrue="1" operator="between">
      <formula>0</formula>
      <formula>0.255</formula>
    </cfRule>
  </conditionalFormatting>
  <conditionalFormatting sqref="R177">
    <cfRule type="cellIs" dxfId="3804" priority="1391" operator="between">
      <formula>0.3751</formula>
      <formula>0.475</formula>
    </cfRule>
    <cfRule type="cellIs" dxfId="3803" priority="1392" operator="between">
      <formula>0.2551</formula>
      <formula>0.375</formula>
    </cfRule>
    <cfRule type="cellIs" dxfId="3802" priority="1393" operator="greaterThan">
      <formula>0.505</formula>
    </cfRule>
    <cfRule type="cellIs" dxfId="3801" priority="1394" operator="between">
      <formula>0.4751</formula>
      <formula>0.5</formula>
    </cfRule>
    <cfRule type="cellIs" dxfId="3800" priority="1395" stopIfTrue="1" operator="between">
      <formula>0</formula>
      <formula>0.255</formula>
    </cfRule>
  </conditionalFormatting>
  <conditionalFormatting sqref="R167">
    <cfRule type="cellIs" dxfId="3799" priority="1386" operator="between">
      <formula>0.3751</formula>
      <formula>0.475</formula>
    </cfRule>
    <cfRule type="cellIs" dxfId="3798" priority="1387" operator="between">
      <formula>0.2551</formula>
      <formula>0.375</formula>
    </cfRule>
    <cfRule type="cellIs" dxfId="3797" priority="1388" operator="greaterThan">
      <formula>0.505</formula>
    </cfRule>
    <cfRule type="cellIs" dxfId="3796" priority="1389" operator="between">
      <formula>0.4751</formula>
      <formula>0.5</formula>
    </cfRule>
    <cfRule type="cellIs" dxfId="3795" priority="1390" stopIfTrue="1" operator="between">
      <formula>0</formula>
      <formula>0.255</formula>
    </cfRule>
  </conditionalFormatting>
  <conditionalFormatting sqref="R155">
    <cfRule type="cellIs" dxfId="3794" priority="1381" operator="between">
      <formula>0.3751</formula>
      <formula>0.475</formula>
    </cfRule>
    <cfRule type="cellIs" dxfId="3793" priority="1382" operator="between">
      <formula>0.2551</formula>
      <formula>0.375</formula>
    </cfRule>
    <cfRule type="cellIs" dxfId="3792" priority="1383" operator="greaterThan">
      <formula>0.505</formula>
    </cfRule>
    <cfRule type="cellIs" dxfId="3791" priority="1384" operator="between">
      <formula>0.4751</formula>
      <formula>0.5</formula>
    </cfRule>
    <cfRule type="cellIs" dxfId="3790" priority="1385" stopIfTrue="1" operator="between">
      <formula>0</formula>
      <formula>0.255</formula>
    </cfRule>
  </conditionalFormatting>
  <conditionalFormatting sqref="R146">
    <cfRule type="cellIs" dxfId="3789" priority="1376" operator="between">
      <formula>0.3751</formula>
      <formula>0.475</formula>
    </cfRule>
    <cfRule type="cellIs" dxfId="3788" priority="1377" operator="between">
      <formula>0.2551</formula>
      <formula>0.375</formula>
    </cfRule>
    <cfRule type="cellIs" dxfId="3787" priority="1378" operator="greaterThan">
      <formula>0.505</formula>
    </cfRule>
    <cfRule type="cellIs" dxfId="3786" priority="1379" operator="between">
      <formula>0.4751</formula>
      <formula>0.5</formula>
    </cfRule>
    <cfRule type="cellIs" dxfId="3785" priority="1380" stopIfTrue="1" operator="between">
      <formula>0</formula>
      <formula>0.255</formula>
    </cfRule>
  </conditionalFormatting>
  <conditionalFormatting sqref="R123">
    <cfRule type="cellIs" dxfId="3784" priority="1371" operator="between">
      <formula>0.3751</formula>
      <formula>0.475</formula>
    </cfRule>
    <cfRule type="cellIs" dxfId="3783" priority="1372" operator="between">
      <formula>0.2551</formula>
      <formula>0.375</formula>
    </cfRule>
    <cfRule type="cellIs" dxfId="3782" priority="1373" operator="greaterThan">
      <formula>0.505</formula>
    </cfRule>
    <cfRule type="cellIs" dxfId="3781" priority="1374" operator="between">
      <formula>0.4751</formula>
      <formula>0.5</formula>
    </cfRule>
    <cfRule type="cellIs" dxfId="3780" priority="1375" stopIfTrue="1" operator="between">
      <formula>0</formula>
      <formula>0.255</formula>
    </cfRule>
  </conditionalFormatting>
  <conditionalFormatting sqref="R106">
    <cfRule type="cellIs" dxfId="3779" priority="1366" operator="between">
      <formula>0.3751</formula>
      <formula>0.475</formula>
    </cfRule>
    <cfRule type="cellIs" dxfId="3778" priority="1367" operator="between">
      <formula>0.2551</formula>
      <formula>0.375</formula>
    </cfRule>
    <cfRule type="cellIs" dxfId="3777" priority="1368" operator="greaterThan">
      <formula>0.505</formula>
    </cfRule>
    <cfRule type="cellIs" dxfId="3776" priority="1369" operator="between">
      <formula>0.4751</formula>
      <formula>0.5</formula>
    </cfRule>
    <cfRule type="cellIs" dxfId="3775" priority="1370" stopIfTrue="1" operator="between">
      <formula>0</formula>
      <formula>0.255</formula>
    </cfRule>
  </conditionalFormatting>
  <conditionalFormatting sqref="R98">
    <cfRule type="cellIs" dxfId="3774" priority="1361" operator="between">
      <formula>0.3751</formula>
      <formula>0.475</formula>
    </cfRule>
    <cfRule type="cellIs" dxfId="3773" priority="1362" operator="between">
      <formula>0.2551</formula>
      <formula>0.375</formula>
    </cfRule>
    <cfRule type="cellIs" dxfId="3772" priority="1363" operator="greaterThan">
      <formula>0.505</formula>
    </cfRule>
    <cfRule type="cellIs" dxfId="3771" priority="1364" operator="between">
      <formula>0.4751</formula>
      <formula>0.5</formula>
    </cfRule>
    <cfRule type="cellIs" dxfId="3770" priority="1365" stopIfTrue="1" operator="between">
      <formula>0</formula>
      <formula>0.255</formula>
    </cfRule>
  </conditionalFormatting>
  <conditionalFormatting sqref="R77">
    <cfRule type="cellIs" dxfId="3769" priority="1356" operator="between">
      <formula>0.3751</formula>
      <formula>0.475</formula>
    </cfRule>
    <cfRule type="cellIs" dxfId="3768" priority="1357" operator="between">
      <formula>0.2551</formula>
      <formula>0.375</formula>
    </cfRule>
    <cfRule type="cellIs" dxfId="3767" priority="1358" operator="greaterThan">
      <formula>0.505</formula>
    </cfRule>
    <cfRule type="cellIs" dxfId="3766" priority="1359" operator="between">
      <formula>0.4751</formula>
      <formula>0.5</formula>
    </cfRule>
    <cfRule type="cellIs" dxfId="3765" priority="1360" stopIfTrue="1" operator="between">
      <formula>0</formula>
      <formula>0.255</formula>
    </cfRule>
  </conditionalFormatting>
  <conditionalFormatting sqref="R65">
    <cfRule type="cellIs" dxfId="3764" priority="1351" operator="between">
      <formula>0.3751</formula>
      <formula>0.475</formula>
    </cfRule>
    <cfRule type="cellIs" dxfId="3763" priority="1352" operator="between">
      <formula>0.2551</formula>
      <formula>0.375</formula>
    </cfRule>
    <cfRule type="cellIs" dxfId="3762" priority="1353" operator="greaterThan">
      <formula>0.505</formula>
    </cfRule>
    <cfRule type="cellIs" dxfId="3761" priority="1354" operator="between">
      <formula>0.4751</formula>
      <formula>0.5</formula>
    </cfRule>
    <cfRule type="cellIs" dxfId="3760" priority="1355" stopIfTrue="1" operator="between">
      <formula>0</formula>
      <formula>0.255</formula>
    </cfRule>
  </conditionalFormatting>
  <conditionalFormatting sqref="R37">
    <cfRule type="cellIs" dxfId="3759" priority="1346" operator="between">
      <formula>0.3751</formula>
      <formula>0.475</formula>
    </cfRule>
    <cfRule type="cellIs" dxfId="3758" priority="1347" operator="between">
      <formula>0.2551</formula>
      <formula>0.375</formula>
    </cfRule>
    <cfRule type="cellIs" dxfId="3757" priority="1348" operator="greaterThan">
      <formula>0.505</formula>
    </cfRule>
    <cfRule type="cellIs" dxfId="3756" priority="1349" operator="between">
      <formula>0.4751</formula>
      <formula>0.5</formula>
    </cfRule>
    <cfRule type="cellIs" dxfId="3755" priority="1350" stopIfTrue="1" operator="between">
      <formula>0</formula>
      <formula>0.255</formula>
    </cfRule>
  </conditionalFormatting>
  <conditionalFormatting sqref="R224">
    <cfRule type="cellIs" dxfId="3754" priority="1331" operator="between">
      <formula>0.3751</formula>
      <formula>0.475</formula>
    </cfRule>
    <cfRule type="cellIs" dxfId="3753" priority="1332" operator="between">
      <formula>0.2551</formula>
      <formula>0.375</formula>
    </cfRule>
    <cfRule type="cellIs" dxfId="3752" priority="1333" operator="greaterThan">
      <formula>0.505</formula>
    </cfRule>
    <cfRule type="cellIs" dxfId="3751" priority="1334" operator="between">
      <formula>0.4751</formula>
      <formula>0.5</formula>
    </cfRule>
    <cfRule type="cellIs" dxfId="3750" priority="1335" stopIfTrue="1" operator="between">
      <formula>0</formula>
      <formula>0.255</formula>
    </cfRule>
  </conditionalFormatting>
  <conditionalFormatting sqref="R59">
    <cfRule type="cellIs" dxfId="3749" priority="1321" operator="between">
      <formula>0.3751</formula>
      <formula>0.475</formula>
    </cfRule>
    <cfRule type="cellIs" dxfId="3748" priority="1322" operator="between">
      <formula>0.2551</formula>
      <formula>0.37505</formula>
    </cfRule>
    <cfRule type="cellIs" dxfId="3747" priority="1323" operator="greaterThan">
      <formula>0.505</formula>
    </cfRule>
    <cfRule type="cellIs" dxfId="3746" priority="1324" operator="between">
      <formula>0.48</formula>
      <formula>0.5</formula>
    </cfRule>
    <cfRule type="cellIs" dxfId="3745" priority="1325" stopIfTrue="1" operator="between">
      <formula>0</formula>
      <formula>0.255</formula>
    </cfRule>
  </conditionalFormatting>
  <conditionalFormatting sqref="I227">
    <cfRule type="cellIs" dxfId="3744" priority="1316" operator="between">
      <formula>0.76</formula>
      <formula>0.95</formula>
    </cfRule>
    <cfRule type="cellIs" dxfId="3743" priority="1317" operator="between">
      <formula>0.51</formula>
      <formula>0.75</formula>
    </cfRule>
    <cfRule type="cellIs" dxfId="3742" priority="1318" operator="greaterThan">
      <formula>1</formula>
    </cfRule>
    <cfRule type="cellIs" dxfId="3741" priority="1319" operator="between">
      <formula>0.95</formula>
      <formula>1</formula>
    </cfRule>
    <cfRule type="cellIs" dxfId="3740" priority="1320" stopIfTrue="1" operator="between">
      <formula>0</formula>
      <formula>0.5</formula>
    </cfRule>
  </conditionalFormatting>
  <conditionalFormatting sqref="P227">
    <cfRule type="cellIs" dxfId="3739" priority="1271" operator="between">
      <formula>0.76</formula>
      <formula>0.95</formula>
    </cfRule>
    <cfRule type="cellIs" dxfId="3738" priority="1272" operator="between">
      <formula>0.51</formula>
      <formula>0.75</formula>
    </cfRule>
    <cfRule type="cellIs" dxfId="3737" priority="1273" operator="greaterThan">
      <formula>1</formula>
    </cfRule>
    <cfRule type="cellIs" dxfId="3736" priority="1274" operator="between">
      <formula>0.95</formula>
      <formula>1</formula>
    </cfRule>
    <cfRule type="cellIs" dxfId="3735" priority="1275" stopIfTrue="1" operator="between">
      <formula>0</formula>
      <formula>0.5</formula>
    </cfRule>
  </conditionalFormatting>
  <conditionalFormatting sqref="AD227">
    <cfRule type="cellIs" dxfId="3734" priority="1241" operator="between">
      <formula>0.76</formula>
      <formula>0.95</formula>
    </cfRule>
    <cfRule type="cellIs" dxfId="3733" priority="1242" operator="between">
      <formula>0.51</formula>
      <formula>0.75</formula>
    </cfRule>
    <cfRule type="cellIs" dxfId="3732" priority="1243" operator="greaterThan">
      <formula>1</formula>
    </cfRule>
    <cfRule type="cellIs" dxfId="3731" priority="1244" operator="between">
      <formula>0.95</formula>
      <formula>1</formula>
    </cfRule>
    <cfRule type="cellIs" dxfId="3730" priority="1245" stopIfTrue="1" operator="between">
      <formula>0</formula>
      <formula>0.5</formula>
    </cfRule>
  </conditionalFormatting>
  <conditionalFormatting sqref="K227">
    <cfRule type="cellIs" dxfId="3729" priority="1261" operator="between">
      <formula>0.191</formula>
      <formula>0.24</formula>
    </cfRule>
    <cfRule type="cellIs" dxfId="3728" priority="1262" operator="between">
      <formula>0.1251</formula>
      <formula>0.19</formula>
    </cfRule>
    <cfRule type="cellIs" dxfId="3727" priority="1263" operator="greaterThan">
      <formula>0.2601</formula>
    </cfRule>
    <cfRule type="cellIs" dxfId="3726" priority="1264" operator="between">
      <formula>0.2401</formula>
      <formula>0.26</formula>
    </cfRule>
    <cfRule type="cellIs" dxfId="3725" priority="1265" stopIfTrue="1" operator="between">
      <formula>0</formula>
      <formula>0.125</formula>
    </cfRule>
  </conditionalFormatting>
  <conditionalFormatting sqref="R227">
    <cfRule type="cellIs" dxfId="3724" priority="1256" operator="between">
      <formula>0.3751</formula>
      <formula>0.475</formula>
    </cfRule>
    <cfRule type="cellIs" dxfId="3723" priority="1257" operator="between">
      <formula>0.2551</formula>
      <formula>0.375</formula>
    </cfRule>
    <cfRule type="cellIs" dxfId="3722" priority="1258" operator="greaterThan">
      <formula>0.505</formula>
    </cfRule>
    <cfRule type="cellIs" dxfId="3721" priority="1259" operator="between">
      <formula>0.48</formula>
      <formula>0.51</formula>
    </cfRule>
    <cfRule type="cellIs" dxfId="3720" priority="1260" stopIfTrue="1" operator="between">
      <formula>0</formula>
      <formula>0.255</formula>
    </cfRule>
  </conditionalFormatting>
  <conditionalFormatting sqref="W227">
    <cfRule type="cellIs" dxfId="3719" priority="1251" operator="between">
      <formula>0.76</formula>
      <formula>0.95</formula>
    </cfRule>
    <cfRule type="cellIs" dxfId="3718" priority="1252" operator="between">
      <formula>0.51</formula>
      <formula>0.75</formula>
    </cfRule>
    <cfRule type="cellIs" dxfId="3717" priority="1253" operator="greaterThan">
      <formula>1</formula>
    </cfRule>
    <cfRule type="cellIs" dxfId="3716" priority="1254" operator="between">
      <formula>0.95</formula>
      <formula>1</formula>
    </cfRule>
    <cfRule type="cellIs" dxfId="3715" priority="1255" stopIfTrue="1" operator="between">
      <formula>0</formula>
      <formula>0.5</formula>
    </cfRule>
  </conditionalFormatting>
  <conditionalFormatting sqref="Y227">
    <cfRule type="cellIs" dxfId="3714" priority="1246" operator="between">
      <formula>0.3751</formula>
      <formula>0.475</formula>
    </cfRule>
    <cfRule type="cellIs" dxfId="3713" priority="1247" operator="between">
      <formula>0.2551</formula>
      <formula>0.375</formula>
    </cfRule>
    <cfRule type="cellIs" dxfId="3712" priority="1248" operator="greaterThan">
      <formula>0.505</formula>
    </cfRule>
    <cfRule type="cellIs" dxfId="3711" priority="1249" operator="between">
      <formula>0.48</formula>
      <formula>0.51</formula>
    </cfRule>
    <cfRule type="cellIs" dxfId="3710" priority="1250" stopIfTrue="1" operator="between">
      <formula>0</formula>
      <formula>0.255</formula>
    </cfRule>
  </conditionalFormatting>
  <conditionalFormatting sqref="AF227">
    <cfRule type="cellIs" dxfId="3709" priority="1236" operator="between">
      <formula>0.3751</formula>
      <formula>0.475</formula>
    </cfRule>
    <cfRule type="cellIs" dxfId="3708" priority="1237" operator="between">
      <formula>0.2551</formula>
      <formula>0.375</formula>
    </cfRule>
    <cfRule type="cellIs" dxfId="3707" priority="1238" operator="greaterThan">
      <formula>0.505</formula>
    </cfRule>
    <cfRule type="cellIs" dxfId="3706" priority="1239" operator="between">
      <formula>0.48</formula>
      <formula>0.51</formula>
    </cfRule>
    <cfRule type="cellIs" dxfId="3705" priority="1240" stopIfTrue="1" operator="between">
      <formula>0</formula>
      <formula>0.255</formula>
    </cfRule>
  </conditionalFormatting>
  <conditionalFormatting sqref="Q227">
    <cfRule type="cellIs" dxfId="3704" priority="1226" operator="between">
      <formula>0.76</formula>
      <formula>0.95</formula>
    </cfRule>
    <cfRule type="cellIs" dxfId="3703" priority="1227" operator="between">
      <formula>0.51</formula>
      <formula>0.75</formula>
    </cfRule>
    <cfRule type="cellIs" dxfId="3702" priority="1228" operator="greaterThan">
      <formula>1</formula>
    </cfRule>
    <cfRule type="cellIs" dxfId="3701" priority="1229" operator="between">
      <formula>0.95</formula>
      <formula>1</formula>
    </cfRule>
    <cfRule type="cellIs" dxfId="3700" priority="1230" stopIfTrue="1" operator="between">
      <formula>0</formula>
      <formula>0.5</formula>
    </cfRule>
  </conditionalFormatting>
  <conditionalFormatting sqref="Q226">
    <cfRule type="cellIs" dxfId="3699" priority="1231" operator="between">
      <formula>0.751</formula>
      <formula>0.95</formula>
    </cfRule>
    <cfRule type="cellIs" dxfId="3698" priority="1232" operator="between">
      <formula>0.51</formula>
      <formula>0.75</formula>
    </cfRule>
    <cfRule type="cellIs" dxfId="3697" priority="1233" operator="greaterThan">
      <formula>1</formula>
    </cfRule>
    <cfRule type="cellIs" dxfId="3696" priority="1234" operator="between">
      <formula>0.95</formula>
      <formula>1</formula>
    </cfRule>
    <cfRule type="cellIs" dxfId="3695" priority="1235" stopIfTrue="1" operator="between">
      <formula>0</formula>
      <formula>0.5</formula>
    </cfRule>
  </conditionalFormatting>
  <conditionalFormatting sqref="S164:S166 S156:S161 S15:T36 S90:T91 S94:T97 S38:T64 S66:T76 S78:T86 S99:T105 S124:T145 S147:T154 T156:T166 S168:T176 S179:T202 S204:T205 S207:T209 S211:T217 S220:T222 S224:T224 S108:T122">
    <cfRule type="cellIs" dxfId="3694" priority="1216" operator="between">
      <formula>0.376</formula>
      <formula>0.475</formula>
    </cfRule>
    <cfRule type="cellIs" dxfId="3693" priority="1217" operator="between">
      <formula>0.2551</formula>
      <formula>0.3751</formula>
    </cfRule>
    <cfRule type="cellIs" dxfId="3692" priority="1218" operator="greaterThan">
      <formula>0.505</formula>
    </cfRule>
    <cfRule type="cellIs" dxfId="3691" priority="1219" operator="between">
      <formula>0.48</formula>
      <formula>0.5</formula>
    </cfRule>
    <cfRule type="cellIs" dxfId="3690" priority="1220" stopIfTrue="1" operator="between">
      <formula>0</formula>
      <formula>0.255</formula>
    </cfRule>
  </conditionalFormatting>
  <conditionalFormatting sqref="S163">
    <cfRule type="cellIs" dxfId="3689" priority="1211" operator="between">
      <formula>0.3751</formula>
      <formula>0.475</formula>
    </cfRule>
    <cfRule type="cellIs" dxfId="3688" priority="1212" operator="between">
      <formula>0.2551</formula>
      <formula>0.375</formula>
    </cfRule>
    <cfRule type="cellIs" dxfId="3687" priority="1213" operator="greaterThan">
      <formula>0.505</formula>
    </cfRule>
    <cfRule type="cellIs" dxfId="3686" priority="1214" operator="between">
      <formula>0.4751</formula>
      <formula>0.5</formula>
    </cfRule>
    <cfRule type="cellIs" dxfId="3685" priority="1215" stopIfTrue="1" operator="between">
      <formula>0</formula>
      <formula>0.255</formula>
    </cfRule>
  </conditionalFormatting>
  <conditionalFormatting sqref="S162">
    <cfRule type="cellIs" dxfId="3684" priority="1206" operator="between">
      <formula>0.3751</formula>
      <formula>0.475</formula>
    </cfRule>
    <cfRule type="cellIs" dxfId="3683" priority="1207" operator="between">
      <formula>0.2551</formula>
      <formula>0.375</formula>
    </cfRule>
    <cfRule type="cellIs" dxfId="3682" priority="1208" operator="greaterThan">
      <formula>0.505</formula>
    </cfRule>
    <cfRule type="cellIs" dxfId="3681" priority="1209" operator="between">
      <formula>0.4751</formula>
      <formula>0.5</formula>
    </cfRule>
    <cfRule type="cellIs" dxfId="3680" priority="1210" stopIfTrue="1" operator="between">
      <formula>0</formula>
      <formula>0.255</formula>
    </cfRule>
  </conditionalFormatting>
  <conditionalFormatting sqref="S226">
    <cfRule type="cellIs" dxfId="3679" priority="1201" operator="between">
      <formula>0.3751</formula>
      <formula>0.475</formula>
    </cfRule>
    <cfRule type="cellIs" dxfId="3678" priority="1202" operator="between">
      <formula>0.2551</formula>
      <formula>0.375</formula>
    </cfRule>
    <cfRule type="cellIs" dxfId="3677" priority="1203" operator="greaterThan">
      <formula>0.505</formula>
    </cfRule>
    <cfRule type="cellIs" dxfId="3676" priority="1204" operator="between">
      <formula>0.48</formula>
      <formula>0.51</formula>
    </cfRule>
    <cfRule type="cellIs" dxfId="3675" priority="1205" stopIfTrue="1" operator="between">
      <formula>0</formula>
      <formula>0.255</formula>
    </cfRule>
  </conditionalFormatting>
  <conditionalFormatting sqref="S227">
    <cfRule type="cellIs" dxfId="3674" priority="1196" operator="between">
      <formula>0.3751</formula>
      <formula>0.475</formula>
    </cfRule>
    <cfRule type="cellIs" dxfId="3673" priority="1197" operator="between">
      <formula>0.2551</formula>
      <formula>0.375</formula>
    </cfRule>
    <cfRule type="cellIs" dxfId="3672" priority="1198" operator="greaterThan">
      <formula>0.505</formula>
    </cfRule>
    <cfRule type="cellIs" dxfId="3671" priority="1199" operator="between">
      <formula>0.48</formula>
      <formula>0.51</formula>
    </cfRule>
    <cfRule type="cellIs" dxfId="3670" priority="1200" stopIfTrue="1" operator="between">
      <formula>0</formula>
      <formula>0.255</formula>
    </cfRule>
  </conditionalFormatting>
  <conditionalFormatting sqref="Q225">
    <cfRule type="cellIs" dxfId="3669" priority="1191" operator="between">
      <formula>0.76</formula>
      <formula>0.95</formula>
    </cfRule>
    <cfRule type="cellIs" dxfId="3668" priority="1192" operator="between">
      <formula>0.51</formula>
      <formula>0.75</formula>
    </cfRule>
    <cfRule type="cellIs" dxfId="3667" priority="1193" operator="greaterThan">
      <formula>1</formula>
    </cfRule>
    <cfRule type="cellIs" dxfId="3666" priority="1194" operator="between">
      <formula>0.95</formula>
      <formula>1</formula>
    </cfRule>
    <cfRule type="cellIs" dxfId="3665" priority="1195" stopIfTrue="1" operator="between">
      <formula>0</formula>
      <formula>0.5</formula>
    </cfRule>
  </conditionalFormatting>
  <conditionalFormatting sqref="S225">
    <cfRule type="cellIs" dxfId="3664" priority="1186" operator="between">
      <formula>0.38</formula>
      <formula>0.475</formula>
    </cfRule>
    <cfRule type="cellIs" dxfId="3663" priority="1187" operator="between">
      <formula>0.2551</formula>
      <formula>0.375</formula>
    </cfRule>
    <cfRule type="cellIs" dxfId="3662" priority="1188" operator="greaterThan">
      <formula>0.505</formula>
    </cfRule>
    <cfRule type="cellIs" dxfId="3661" priority="1189" operator="between">
      <formula>0.48</formula>
      <formula>0.51</formula>
    </cfRule>
    <cfRule type="cellIs" dxfId="3660" priority="1190" stopIfTrue="1" operator="between">
      <formula>0</formula>
      <formula>0.255</formula>
    </cfRule>
  </conditionalFormatting>
  <conditionalFormatting sqref="Q37">
    <cfRule type="cellIs" dxfId="3659" priority="1181" operator="between">
      <formula>0.76</formula>
      <formula>0.95</formula>
    </cfRule>
    <cfRule type="cellIs" dxfId="3658" priority="1182" operator="between">
      <formula>0.51</formula>
      <formula>0.75</formula>
    </cfRule>
    <cfRule type="cellIs" dxfId="3657" priority="1183" operator="greaterThan">
      <formula>1</formula>
    </cfRule>
    <cfRule type="cellIs" dxfId="3656" priority="1184" operator="between">
      <formula>0.95</formula>
      <formula>1</formula>
    </cfRule>
    <cfRule type="cellIs" dxfId="3655" priority="1185" stopIfTrue="1" operator="between">
      <formula>0</formula>
      <formula>0.5</formula>
    </cfRule>
  </conditionalFormatting>
  <conditionalFormatting sqref="S37">
    <cfRule type="cellIs" dxfId="3654" priority="1176" operator="between">
      <formula>0.3751</formula>
      <formula>0.475</formula>
    </cfRule>
    <cfRule type="cellIs" dxfId="3653" priority="1177" operator="between">
      <formula>0.2551</formula>
      <formula>0.375</formula>
    </cfRule>
    <cfRule type="cellIs" dxfId="3652" priority="1178" operator="greaterThan">
      <formula>0.505</formula>
    </cfRule>
    <cfRule type="cellIs" dxfId="3651" priority="1179" operator="between">
      <formula>0.4751</formula>
      <formula>0.5</formula>
    </cfRule>
    <cfRule type="cellIs" dxfId="3650" priority="1180" stopIfTrue="1" operator="between">
      <formula>0</formula>
      <formula>0.255</formula>
    </cfRule>
  </conditionalFormatting>
  <conditionalFormatting sqref="Q65">
    <cfRule type="cellIs" dxfId="3649" priority="1171" operator="between">
      <formula>0.76</formula>
      <formula>0.95</formula>
    </cfRule>
    <cfRule type="cellIs" dxfId="3648" priority="1172" operator="between">
      <formula>0.51</formula>
      <formula>0.75</formula>
    </cfRule>
    <cfRule type="cellIs" dxfId="3647" priority="1173" operator="greaterThan">
      <formula>1</formula>
    </cfRule>
    <cfRule type="cellIs" dxfId="3646" priority="1174" operator="between">
      <formula>0.95</formula>
      <formula>1</formula>
    </cfRule>
    <cfRule type="cellIs" dxfId="3645" priority="1175" stopIfTrue="1" operator="between">
      <formula>0</formula>
      <formula>0.5</formula>
    </cfRule>
  </conditionalFormatting>
  <conditionalFormatting sqref="S65">
    <cfRule type="cellIs" dxfId="3644" priority="1166" operator="between">
      <formula>0.3751</formula>
      <formula>0.475</formula>
    </cfRule>
    <cfRule type="cellIs" dxfId="3643" priority="1167" operator="between">
      <formula>0.2551</formula>
      <formula>0.375</formula>
    </cfRule>
    <cfRule type="cellIs" dxfId="3642" priority="1168" operator="greaterThan">
      <formula>0.505</formula>
    </cfRule>
    <cfRule type="cellIs" dxfId="3641" priority="1169" operator="between">
      <formula>0.4751</formula>
      <formula>0.5</formula>
    </cfRule>
    <cfRule type="cellIs" dxfId="3640" priority="1170" stopIfTrue="1" operator="between">
      <formula>0</formula>
      <formula>0.255</formula>
    </cfRule>
  </conditionalFormatting>
  <conditionalFormatting sqref="Q77">
    <cfRule type="cellIs" dxfId="3639" priority="1161" operator="between">
      <formula>0.76</formula>
      <formula>0.95</formula>
    </cfRule>
    <cfRule type="cellIs" dxfId="3638" priority="1162" operator="between">
      <formula>0.51</formula>
      <formula>0.75</formula>
    </cfRule>
    <cfRule type="cellIs" dxfId="3637" priority="1163" operator="greaterThan">
      <formula>1</formula>
    </cfRule>
    <cfRule type="cellIs" dxfId="3636" priority="1164" operator="between">
      <formula>0.95</formula>
      <formula>1</formula>
    </cfRule>
    <cfRule type="cellIs" dxfId="3635" priority="1165" stopIfTrue="1" operator="between">
      <formula>0</formula>
      <formula>0.5</formula>
    </cfRule>
  </conditionalFormatting>
  <conditionalFormatting sqref="S77">
    <cfRule type="cellIs" dxfId="3634" priority="1156" operator="between">
      <formula>0.3751</formula>
      <formula>0.475</formula>
    </cfRule>
    <cfRule type="cellIs" dxfId="3633" priority="1157" operator="between">
      <formula>0.2551</formula>
      <formula>0.375</formula>
    </cfRule>
    <cfRule type="cellIs" dxfId="3632" priority="1158" operator="greaterThan">
      <formula>0.505</formula>
    </cfRule>
    <cfRule type="cellIs" dxfId="3631" priority="1159" operator="between">
      <formula>0.4751</formula>
      <formula>0.5</formula>
    </cfRule>
    <cfRule type="cellIs" dxfId="3630" priority="1160" stopIfTrue="1" operator="between">
      <formula>0</formula>
      <formula>0.255</formula>
    </cfRule>
  </conditionalFormatting>
  <conditionalFormatting sqref="Q98">
    <cfRule type="cellIs" dxfId="3629" priority="1151" operator="between">
      <formula>0.76</formula>
      <formula>0.95</formula>
    </cfRule>
    <cfRule type="cellIs" dxfId="3628" priority="1152" operator="between">
      <formula>0.51</formula>
      <formula>0.75</formula>
    </cfRule>
    <cfRule type="cellIs" dxfId="3627" priority="1153" operator="greaterThan">
      <formula>1</formula>
    </cfRule>
    <cfRule type="cellIs" dxfId="3626" priority="1154" operator="between">
      <formula>0.95</formula>
      <formula>1</formula>
    </cfRule>
    <cfRule type="cellIs" dxfId="3625" priority="1155" stopIfTrue="1" operator="between">
      <formula>0</formula>
      <formula>0.5</formula>
    </cfRule>
  </conditionalFormatting>
  <conditionalFormatting sqref="S98">
    <cfRule type="cellIs" dxfId="3624" priority="1146" operator="between">
      <formula>0.3751</formula>
      <formula>0.475</formula>
    </cfRule>
    <cfRule type="cellIs" dxfId="3623" priority="1147" operator="between">
      <formula>0.2551</formula>
      <formula>0.375</formula>
    </cfRule>
    <cfRule type="cellIs" dxfId="3622" priority="1148" operator="greaterThan">
      <formula>0.505</formula>
    </cfRule>
    <cfRule type="cellIs" dxfId="3621" priority="1149" operator="between">
      <formula>0.4751</formula>
      <formula>0.5</formula>
    </cfRule>
    <cfRule type="cellIs" dxfId="3620" priority="1150" stopIfTrue="1" operator="between">
      <formula>0</formula>
      <formula>0.255</formula>
    </cfRule>
  </conditionalFormatting>
  <conditionalFormatting sqref="Q106">
    <cfRule type="cellIs" dxfId="3619" priority="1141" operator="between">
      <formula>0.76</formula>
      <formula>0.95</formula>
    </cfRule>
    <cfRule type="cellIs" dxfId="3618" priority="1142" operator="between">
      <formula>0.51</formula>
      <formula>0.75</formula>
    </cfRule>
    <cfRule type="cellIs" dxfId="3617" priority="1143" operator="greaterThan">
      <formula>1</formula>
    </cfRule>
    <cfRule type="cellIs" dxfId="3616" priority="1144" operator="between">
      <formula>0.95</formula>
      <formula>1</formula>
    </cfRule>
    <cfRule type="cellIs" dxfId="3615" priority="1145" stopIfTrue="1" operator="between">
      <formula>0</formula>
      <formula>0.5</formula>
    </cfRule>
  </conditionalFormatting>
  <conditionalFormatting sqref="S106">
    <cfRule type="cellIs" dxfId="3614" priority="1136" operator="between">
      <formula>0.3751</formula>
      <formula>0.475</formula>
    </cfRule>
    <cfRule type="cellIs" dxfId="3613" priority="1137" operator="between">
      <formula>0.2551</formula>
      <formula>0.375</formula>
    </cfRule>
    <cfRule type="cellIs" dxfId="3612" priority="1138" operator="greaterThan">
      <formula>0.505</formula>
    </cfRule>
    <cfRule type="cellIs" dxfId="3611" priority="1139" operator="between">
      <formula>0.4751</formula>
      <formula>0.5</formula>
    </cfRule>
    <cfRule type="cellIs" dxfId="3610" priority="1140" stopIfTrue="1" operator="between">
      <formula>0</formula>
      <formula>0.255</formula>
    </cfRule>
  </conditionalFormatting>
  <conditionalFormatting sqref="Q107">
    <cfRule type="cellIs" dxfId="3609" priority="1131" operator="between">
      <formula>0.76</formula>
      <formula>0.95</formula>
    </cfRule>
    <cfRule type="cellIs" dxfId="3608" priority="1132" operator="between">
      <formula>0.51</formula>
      <formula>0.75</formula>
    </cfRule>
    <cfRule type="cellIs" dxfId="3607" priority="1133" operator="greaterThan">
      <formula>1</formula>
    </cfRule>
    <cfRule type="cellIs" dxfId="3606" priority="1134" operator="between">
      <formula>0.95</formula>
      <formula>1</formula>
    </cfRule>
    <cfRule type="cellIs" dxfId="3605" priority="1135" stopIfTrue="1" operator="between">
      <formula>0</formula>
      <formula>0.5</formula>
    </cfRule>
  </conditionalFormatting>
  <conditionalFormatting sqref="Q123">
    <cfRule type="cellIs" dxfId="3604" priority="1116" operator="between">
      <formula>0.76</formula>
      <formula>0.95</formula>
    </cfRule>
    <cfRule type="cellIs" dxfId="3603" priority="1117" operator="between">
      <formula>0.51</formula>
      <formula>0.75</formula>
    </cfRule>
    <cfRule type="cellIs" dxfId="3602" priority="1118" operator="greaterThan">
      <formula>1</formula>
    </cfRule>
    <cfRule type="cellIs" dxfId="3601" priority="1119" operator="between">
      <formula>0.95</formula>
      <formula>1</formula>
    </cfRule>
    <cfRule type="cellIs" dxfId="3600" priority="1120" stopIfTrue="1" operator="between">
      <formula>0</formula>
      <formula>0.5</formula>
    </cfRule>
  </conditionalFormatting>
  <conditionalFormatting sqref="S123">
    <cfRule type="cellIs" dxfId="3599" priority="1111" operator="between">
      <formula>0.3751</formula>
      <formula>0.475</formula>
    </cfRule>
    <cfRule type="cellIs" dxfId="3598" priority="1112" operator="between">
      <formula>0.2551</formula>
      <formula>0.375</formula>
    </cfRule>
    <cfRule type="cellIs" dxfId="3597" priority="1113" operator="greaterThan">
      <formula>0.505</formula>
    </cfRule>
    <cfRule type="cellIs" dxfId="3596" priority="1114" operator="between">
      <formula>0.4751</formula>
      <formula>0.5</formula>
    </cfRule>
    <cfRule type="cellIs" dxfId="3595" priority="1115" stopIfTrue="1" operator="between">
      <formula>0</formula>
      <formula>0.255</formula>
    </cfRule>
  </conditionalFormatting>
  <conditionalFormatting sqref="Q146">
    <cfRule type="cellIs" dxfId="3594" priority="1106" operator="between">
      <formula>0.76</formula>
      <formula>0.95</formula>
    </cfRule>
    <cfRule type="cellIs" dxfId="3593" priority="1107" operator="between">
      <formula>0.51</formula>
      <formula>0.75</formula>
    </cfRule>
    <cfRule type="cellIs" dxfId="3592" priority="1108" operator="greaterThan">
      <formula>1</formula>
    </cfRule>
    <cfRule type="cellIs" dxfId="3591" priority="1109" operator="between">
      <formula>0.95</formula>
      <formula>1</formula>
    </cfRule>
    <cfRule type="cellIs" dxfId="3590" priority="1110" stopIfTrue="1" operator="between">
      <formula>0</formula>
      <formula>0.5</formula>
    </cfRule>
  </conditionalFormatting>
  <conditionalFormatting sqref="S146">
    <cfRule type="cellIs" dxfId="3589" priority="1101" operator="between">
      <formula>0.3751</formula>
      <formula>0.475</formula>
    </cfRule>
    <cfRule type="cellIs" dxfId="3588" priority="1102" operator="between">
      <formula>0.2551</formula>
      <formula>0.375</formula>
    </cfRule>
    <cfRule type="cellIs" dxfId="3587" priority="1103" operator="greaterThan">
      <formula>0.505</formula>
    </cfRule>
    <cfRule type="cellIs" dxfId="3586" priority="1104" operator="between">
      <formula>0.4751</formula>
      <formula>0.5</formula>
    </cfRule>
    <cfRule type="cellIs" dxfId="3585" priority="1105" stopIfTrue="1" operator="between">
      <formula>0</formula>
      <formula>0.255</formula>
    </cfRule>
  </conditionalFormatting>
  <conditionalFormatting sqref="Q155">
    <cfRule type="cellIs" dxfId="3584" priority="1091" operator="between">
      <formula>0.76</formula>
      <formula>0.95</formula>
    </cfRule>
    <cfRule type="cellIs" dxfId="3583" priority="1092" operator="between">
      <formula>0.51</formula>
      <formula>0.75</formula>
    </cfRule>
    <cfRule type="cellIs" dxfId="3582" priority="1093" operator="greaterThan">
      <formula>1</formula>
    </cfRule>
    <cfRule type="cellIs" dxfId="3581" priority="1094" operator="between">
      <formula>0.95</formula>
      <formula>1</formula>
    </cfRule>
    <cfRule type="cellIs" dxfId="3580" priority="1095" stopIfTrue="1" operator="between">
      <formula>0</formula>
      <formula>0.5</formula>
    </cfRule>
  </conditionalFormatting>
  <conditionalFormatting sqref="S155">
    <cfRule type="cellIs" dxfId="3579" priority="1086" operator="between">
      <formula>0.3751</formula>
      <formula>0.475</formula>
    </cfRule>
    <cfRule type="cellIs" dxfId="3578" priority="1087" operator="between">
      <formula>0.2551</formula>
      <formula>0.375</formula>
    </cfRule>
    <cfRule type="cellIs" dxfId="3577" priority="1088" operator="greaterThan">
      <formula>0.505</formula>
    </cfRule>
    <cfRule type="cellIs" dxfId="3576" priority="1089" operator="between">
      <formula>0.4751</formula>
      <formula>0.5</formula>
    </cfRule>
    <cfRule type="cellIs" dxfId="3575" priority="1090" stopIfTrue="1" operator="between">
      <formula>0</formula>
      <formula>0.255</formula>
    </cfRule>
  </conditionalFormatting>
  <conditionalFormatting sqref="Q167">
    <cfRule type="cellIs" dxfId="3574" priority="1081" operator="between">
      <formula>0.76</formula>
      <formula>0.95</formula>
    </cfRule>
    <cfRule type="cellIs" dxfId="3573" priority="1082" operator="between">
      <formula>0.51</formula>
      <formula>0.75</formula>
    </cfRule>
    <cfRule type="cellIs" dxfId="3572" priority="1083" operator="greaterThan">
      <formula>1</formula>
    </cfRule>
    <cfRule type="cellIs" dxfId="3571" priority="1084" operator="between">
      <formula>0.95</formula>
      <formula>1</formula>
    </cfRule>
    <cfRule type="cellIs" dxfId="3570" priority="1085" stopIfTrue="1" operator="between">
      <formula>0</formula>
      <formula>0.5</formula>
    </cfRule>
  </conditionalFormatting>
  <conditionalFormatting sqref="S167">
    <cfRule type="cellIs" dxfId="3569" priority="1076" operator="between">
      <formula>0.3751</formula>
      <formula>0.475</formula>
    </cfRule>
    <cfRule type="cellIs" dxfId="3568" priority="1077" operator="between">
      <formula>0.2551</formula>
      <formula>0.375</formula>
    </cfRule>
    <cfRule type="cellIs" dxfId="3567" priority="1078" operator="greaterThan">
      <formula>0.505</formula>
    </cfRule>
    <cfRule type="cellIs" dxfId="3566" priority="1079" operator="between">
      <formula>0.4751</formula>
      <formula>0.5</formula>
    </cfRule>
    <cfRule type="cellIs" dxfId="3565" priority="1080" stopIfTrue="1" operator="between">
      <formula>0</formula>
      <formula>0.255</formula>
    </cfRule>
  </conditionalFormatting>
  <conditionalFormatting sqref="Q177">
    <cfRule type="cellIs" dxfId="3564" priority="1071" operator="between">
      <formula>0.76</formula>
      <formula>0.95</formula>
    </cfRule>
    <cfRule type="cellIs" dxfId="3563" priority="1072" operator="between">
      <formula>0.51</formula>
      <formula>0.75</formula>
    </cfRule>
    <cfRule type="cellIs" dxfId="3562" priority="1073" operator="greaterThan">
      <formula>1</formula>
    </cfRule>
    <cfRule type="cellIs" dxfId="3561" priority="1074" operator="between">
      <formula>0.95</formula>
      <formula>1</formula>
    </cfRule>
    <cfRule type="cellIs" dxfId="3560" priority="1075" stopIfTrue="1" operator="between">
      <formula>0</formula>
      <formula>0.5</formula>
    </cfRule>
  </conditionalFormatting>
  <conditionalFormatting sqref="S177">
    <cfRule type="cellIs" dxfId="3559" priority="1066" operator="between">
      <formula>0.3751</formula>
      <formula>0.475</formula>
    </cfRule>
    <cfRule type="cellIs" dxfId="3558" priority="1067" operator="between">
      <formula>0.2551</formula>
      <formula>0.375</formula>
    </cfRule>
    <cfRule type="cellIs" dxfId="3557" priority="1068" operator="greaterThan">
      <formula>0.505</formula>
    </cfRule>
    <cfRule type="cellIs" dxfId="3556" priority="1069" operator="between">
      <formula>0.4751</formula>
      <formula>0.5</formula>
    </cfRule>
    <cfRule type="cellIs" dxfId="3555" priority="1070" stopIfTrue="1" operator="between">
      <formula>0</formula>
      <formula>0.255</formula>
    </cfRule>
  </conditionalFormatting>
  <conditionalFormatting sqref="Q178">
    <cfRule type="cellIs" dxfId="3554" priority="1061" operator="between">
      <formula>0.76</formula>
      <formula>0.95</formula>
    </cfRule>
    <cfRule type="cellIs" dxfId="3553" priority="1062" operator="between">
      <formula>0.51</formula>
      <formula>0.75</formula>
    </cfRule>
    <cfRule type="cellIs" dxfId="3552" priority="1063" operator="greaterThan">
      <formula>1</formula>
    </cfRule>
    <cfRule type="cellIs" dxfId="3551" priority="1064" operator="between">
      <formula>0.95</formula>
      <formula>1</formula>
    </cfRule>
    <cfRule type="cellIs" dxfId="3550" priority="1065" stopIfTrue="1" operator="between">
      <formula>0</formula>
      <formula>0.5</formula>
    </cfRule>
  </conditionalFormatting>
  <conditionalFormatting sqref="S178">
    <cfRule type="cellIs" dxfId="3549" priority="1056" operator="between">
      <formula>0.3751</formula>
      <formula>0.475</formula>
    </cfRule>
    <cfRule type="cellIs" dxfId="3548" priority="1057" operator="between">
      <formula>0.2551</formula>
      <formula>0.375</formula>
    </cfRule>
    <cfRule type="cellIs" dxfId="3547" priority="1058" operator="greaterThan">
      <formula>0.505</formula>
    </cfRule>
    <cfRule type="cellIs" dxfId="3546" priority="1059" operator="between">
      <formula>0.4751</formula>
      <formula>0.5</formula>
    </cfRule>
    <cfRule type="cellIs" dxfId="3545" priority="1060" stopIfTrue="1" operator="between">
      <formula>0</formula>
      <formula>0.255</formula>
    </cfRule>
  </conditionalFormatting>
  <conditionalFormatting sqref="S107">
    <cfRule type="cellIs" dxfId="3544" priority="1046" operator="between">
      <formula>0.3751</formula>
      <formula>0.475</formula>
    </cfRule>
    <cfRule type="cellIs" dxfId="3543" priority="1047" operator="between">
      <formula>0.2551</formula>
      <formula>0.375</formula>
    </cfRule>
    <cfRule type="cellIs" dxfId="3542" priority="1048" operator="greaterThan">
      <formula>0.505</formula>
    </cfRule>
    <cfRule type="cellIs" dxfId="3541" priority="1049" operator="between">
      <formula>0.4751</formula>
      <formula>0.5</formula>
    </cfRule>
    <cfRule type="cellIs" dxfId="3540" priority="1050" stopIfTrue="1" operator="between">
      <formula>0</formula>
      <formula>0.255</formula>
    </cfRule>
  </conditionalFormatting>
  <conditionalFormatting sqref="Q203">
    <cfRule type="cellIs" dxfId="3539" priority="1036" operator="between">
      <formula>0.751</formula>
      <formula>0.95</formula>
    </cfRule>
    <cfRule type="cellIs" dxfId="3538" priority="1037" operator="between">
      <formula>0.51</formula>
      <formula>0.75</formula>
    </cfRule>
    <cfRule type="cellIs" dxfId="3537" priority="1038" operator="greaterThan">
      <formula>1</formula>
    </cfRule>
    <cfRule type="cellIs" dxfId="3536" priority="1039" operator="between">
      <formula>0.95</formula>
      <formula>1</formula>
    </cfRule>
    <cfRule type="cellIs" dxfId="3535" priority="1040" stopIfTrue="1" operator="between">
      <formula>0</formula>
      <formula>0.5</formula>
    </cfRule>
  </conditionalFormatting>
  <conditionalFormatting sqref="S203">
    <cfRule type="cellIs" dxfId="3534" priority="1031" operator="between">
      <formula>0.3751</formula>
      <formula>0.475</formula>
    </cfRule>
    <cfRule type="cellIs" dxfId="3533" priority="1032" operator="between">
      <formula>0.2551</formula>
      <formula>0.375</formula>
    </cfRule>
    <cfRule type="cellIs" dxfId="3532" priority="1033" operator="greaterThan">
      <formula>0.505</formula>
    </cfRule>
    <cfRule type="cellIs" dxfId="3531" priority="1034" operator="between">
      <formula>0.4751</formula>
      <formula>0.5</formula>
    </cfRule>
    <cfRule type="cellIs" dxfId="3530" priority="1035" stopIfTrue="1" operator="between">
      <formula>0</formula>
      <formula>0.255</formula>
    </cfRule>
  </conditionalFormatting>
  <conditionalFormatting sqref="Q206">
    <cfRule type="cellIs" dxfId="3529" priority="1026" operator="between">
      <formula>0.76</formula>
      <formula>0.95</formula>
    </cfRule>
    <cfRule type="cellIs" dxfId="3528" priority="1027" operator="between">
      <formula>0.51</formula>
      <formula>0.75</formula>
    </cfRule>
    <cfRule type="cellIs" dxfId="3527" priority="1028" operator="greaterThan">
      <formula>1</formula>
    </cfRule>
    <cfRule type="cellIs" dxfId="3526" priority="1029" operator="between">
      <formula>0.95</formula>
      <formula>1</formula>
    </cfRule>
    <cfRule type="cellIs" dxfId="3525" priority="1030" stopIfTrue="1" operator="between">
      <formula>0</formula>
      <formula>0.5</formula>
    </cfRule>
  </conditionalFormatting>
  <conditionalFormatting sqref="S206">
    <cfRule type="cellIs" dxfId="3524" priority="1021" operator="between">
      <formula>0.3751</formula>
      <formula>0.475</formula>
    </cfRule>
    <cfRule type="cellIs" dxfId="3523" priority="1022" operator="between">
      <formula>0.2551</formula>
      <formula>0.375</formula>
    </cfRule>
    <cfRule type="cellIs" dxfId="3522" priority="1023" operator="greaterThan">
      <formula>0.505</formula>
    </cfRule>
    <cfRule type="cellIs" dxfId="3521" priority="1024" operator="between">
      <formula>0.4751</formula>
      <formula>0.5</formula>
    </cfRule>
    <cfRule type="cellIs" dxfId="3520" priority="1025" stopIfTrue="1" operator="between">
      <formula>0</formula>
      <formula>0.255</formula>
    </cfRule>
  </conditionalFormatting>
  <conditionalFormatting sqref="Q210">
    <cfRule type="cellIs" dxfId="3519" priority="1016" operator="between">
      <formula>0.76</formula>
      <formula>0.95</formula>
    </cfRule>
    <cfRule type="cellIs" dxfId="3518" priority="1017" operator="between">
      <formula>0.51</formula>
      <formula>0.75</formula>
    </cfRule>
    <cfRule type="cellIs" dxfId="3517" priority="1018" operator="greaterThan">
      <formula>1</formula>
    </cfRule>
    <cfRule type="cellIs" dxfId="3516" priority="1019" operator="between">
      <formula>0.95</formula>
      <formula>1</formula>
    </cfRule>
    <cfRule type="cellIs" dxfId="3515" priority="1020" stopIfTrue="1" operator="between">
      <formula>0</formula>
      <formula>0.5</formula>
    </cfRule>
  </conditionalFormatting>
  <conditionalFormatting sqref="S210">
    <cfRule type="cellIs" dxfId="3514" priority="1011" operator="between">
      <formula>0.3751</formula>
      <formula>0.475</formula>
    </cfRule>
    <cfRule type="cellIs" dxfId="3513" priority="1012" operator="between">
      <formula>0.2551</formula>
      <formula>0.375</formula>
    </cfRule>
    <cfRule type="cellIs" dxfId="3512" priority="1013" operator="greaterThan">
      <formula>0.505</formula>
    </cfRule>
    <cfRule type="cellIs" dxfId="3511" priority="1014" operator="between">
      <formula>0.4751</formula>
      <formula>0.5</formula>
    </cfRule>
    <cfRule type="cellIs" dxfId="3510" priority="1015" stopIfTrue="1" operator="between">
      <formula>0</formula>
      <formula>0.255</formula>
    </cfRule>
  </conditionalFormatting>
  <conditionalFormatting sqref="Q218">
    <cfRule type="cellIs" dxfId="3509" priority="1001" operator="between">
      <formula>0.76</formula>
      <formula>0.95</formula>
    </cfRule>
    <cfRule type="cellIs" dxfId="3508" priority="1002" operator="between">
      <formula>0.51</formula>
      <formula>0.75</formula>
    </cfRule>
    <cfRule type="cellIs" dxfId="3507" priority="1003" operator="greaterThan">
      <formula>1</formula>
    </cfRule>
    <cfRule type="cellIs" dxfId="3506" priority="1004" operator="between">
      <formula>0.95</formula>
      <formula>1</formula>
    </cfRule>
    <cfRule type="cellIs" dxfId="3505" priority="1005" stopIfTrue="1" operator="between">
      <formula>0</formula>
      <formula>0.5</formula>
    </cfRule>
  </conditionalFormatting>
  <conditionalFormatting sqref="S218">
    <cfRule type="cellIs" dxfId="3504" priority="996" operator="between">
      <formula>0.3751</formula>
      <formula>0.475</formula>
    </cfRule>
    <cfRule type="cellIs" dxfId="3503" priority="997" operator="between">
      <formula>0.2551</formula>
      <formula>0.375</formula>
    </cfRule>
    <cfRule type="cellIs" dxfId="3502" priority="998" operator="greaterThan">
      <formula>0.505</formula>
    </cfRule>
    <cfRule type="cellIs" dxfId="3501" priority="999" operator="between">
      <formula>0.4751</formula>
      <formula>0.5</formula>
    </cfRule>
    <cfRule type="cellIs" dxfId="3500" priority="1000" stopIfTrue="1" operator="between">
      <formula>0</formula>
      <formula>0.255</formula>
    </cfRule>
  </conditionalFormatting>
  <conditionalFormatting sqref="Q219">
    <cfRule type="cellIs" dxfId="3499" priority="991" operator="between">
      <formula>0.76</formula>
      <formula>0.95</formula>
    </cfRule>
    <cfRule type="cellIs" dxfId="3498" priority="992" operator="between">
      <formula>0.51</formula>
      <formula>0.75</formula>
    </cfRule>
    <cfRule type="cellIs" dxfId="3497" priority="993" operator="greaterThan">
      <formula>1</formula>
    </cfRule>
    <cfRule type="cellIs" dxfId="3496" priority="994" operator="between">
      <formula>0.95</formula>
      <formula>1</formula>
    </cfRule>
    <cfRule type="cellIs" dxfId="3495" priority="995" stopIfTrue="1" operator="between">
      <formula>0</formula>
      <formula>0.5</formula>
    </cfRule>
  </conditionalFormatting>
  <conditionalFormatting sqref="S219">
    <cfRule type="cellIs" dxfId="3494" priority="986" operator="between">
      <formula>0.3751</formula>
      <formula>0.475</formula>
    </cfRule>
    <cfRule type="cellIs" dxfId="3493" priority="987" operator="between">
      <formula>0.2551</formula>
      <formula>0.375</formula>
    </cfRule>
    <cfRule type="cellIs" dxfId="3492" priority="988" operator="greaterThan">
      <formula>0.505</formula>
    </cfRule>
    <cfRule type="cellIs" dxfId="3491" priority="989" operator="between">
      <formula>0.4751</formula>
      <formula>0.5</formula>
    </cfRule>
    <cfRule type="cellIs" dxfId="3490" priority="990" stopIfTrue="1" operator="between">
      <formula>0</formula>
      <formula>0.255</formula>
    </cfRule>
  </conditionalFormatting>
  <conditionalFormatting sqref="Q223">
    <cfRule type="cellIs" dxfId="3489" priority="981" operator="between">
      <formula>0.76</formula>
      <formula>0.95</formula>
    </cfRule>
    <cfRule type="cellIs" dxfId="3488" priority="982" operator="between">
      <formula>0.51</formula>
      <formula>0.75</formula>
    </cfRule>
    <cfRule type="cellIs" dxfId="3487" priority="983" operator="greaterThan">
      <formula>1</formula>
    </cfRule>
    <cfRule type="cellIs" dxfId="3486" priority="984" operator="between">
      <formula>0.95</formula>
      <formula>1</formula>
    </cfRule>
    <cfRule type="cellIs" dxfId="3485" priority="985" stopIfTrue="1" operator="between">
      <formula>0</formula>
      <formula>0.5</formula>
    </cfRule>
  </conditionalFormatting>
  <conditionalFormatting sqref="S223">
    <cfRule type="cellIs" dxfId="3484" priority="976" operator="between">
      <formula>0.3751</formula>
      <formula>0.475</formula>
    </cfRule>
    <cfRule type="cellIs" dxfId="3483" priority="977" operator="between">
      <formula>0.2551</formula>
      <formula>0.375</formula>
    </cfRule>
    <cfRule type="cellIs" dxfId="3482" priority="978" operator="greaterThan">
      <formula>0.505</formula>
    </cfRule>
    <cfRule type="cellIs" dxfId="3481" priority="979" operator="between">
      <formula>0.4751</formula>
      <formula>0.5</formula>
    </cfRule>
    <cfRule type="cellIs" dxfId="3480" priority="980" stopIfTrue="1" operator="between">
      <formula>0</formula>
      <formula>0.255</formula>
    </cfRule>
  </conditionalFormatting>
  <conditionalFormatting sqref="X38:X64 X66:X76 X78:X86 X90:X91 X94:X97 X99:X105 X124:X145 X147:X154 X156:X166 X168:X176 X179:X202 X204:X205 X207:X209 X211:X217 X220:X222">
    <cfRule type="cellIs" dxfId="3479" priority="971" operator="between">
      <formula>0.76</formula>
      <formula>0.95</formula>
    </cfRule>
    <cfRule type="cellIs" dxfId="3478" priority="972" operator="between">
      <formula>0.51</formula>
      <formula>0.75</formula>
    </cfRule>
    <cfRule type="cellIs" dxfId="3477" priority="973" operator="greaterThan">
      <formula>1</formula>
    </cfRule>
    <cfRule type="cellIs" dxfId="3476" priority="974" operator="between">
      <formula>0.95</formula>
      <formula>1</formula>
    </cfRule>
    <cfRule type="cellIs" dxfId="3475" priority="975" stopIfTrue="1" operator="between">
      <formula>0</formula>
      <formula>0.5</formula>
    </cfRule>
  </conditionalFormatting>
  <conditionalFormatting sqref="Z38:Z64 Z66:Z76 Z99:Z105 Z124:Z145 Z147:Z154 Z156:Z166 Z168:Z176 Z179:Z202 Z204:Z205 Z207:Z209 Z211:Z217 Z220:Z222">
    <cfRule type="cellIs" dxfId="3474" priority="961" operator="between">
      <formula>0.76</formula>
      <formula>0.95</formula>
    </cfRule>
    <cfRule type="cellIs" dxfId="3473" priority="962" operator="between">
      <formula>0.51</formula>
      <formula>0.75</formula>
    </cfRule>
    <cfRule type="cellIs" dxfId="3472" priority="963" operator="greaterThan">
      <formula>1</formula>
    </cfRule>
    <cfRule type="cellIs" dxfId="3471" priority="964" operator="between">
      <formula>0.95</formula>
      <formula>1</formula>
    </cfRule>
    <cfRule type="cellIs" dxfId="3470" priority="965" stopIfTrue="1" operator="between">
      <formula>0</formula>
      <formula>0.5</formula>
    </cfRule>
  </conditionalFormatting>
  <conditionalFormatting sqref="X37">
    <cfRule type="cellIs" dxfId="3469" priority="956" operator="between">
      <formula>0.76</formula>
      <formula>0.95</formula>
    </cfRule>
    <cfRule type="cellIs" dxfId="3468" priority="957" operator="between">
      <formula>0.51</formula>
      <formula>0.75</formula>
    </cfRule>
    <cfRule type="cellIs" dxfId="3467" priority="958" operator="greaterThan">
      <formula>1</formula>
    </cfRule>
    <cfRule type="cellIs" dxfId="3466" priority="959" operator="between">
      <formula>0.95</formula>
      <formula>1</formula>
    </cfRule>
    <cfRule type="cellIs" dxfId="3465" priority="960" stopIfTrue="1" operator="between">
      <formula>0</formula>
      <formula>0.5</formula>
    </cfRule>
  </conditionalFormatting>
  <conditionalFormatting sqref="AF24">
    <cfRule type="cellIs" dxfId="3464" priority="951" operator="between">
      <formula>0.76</formula>
      <formula>0.95</formula>
    </cfRule>
    <cfRule type="cellIs" dxfId="3463" priority="952" operator="between">
      <formula>0.51</formula>
      <formula>0.75</formula>
    </cfRule>
    <cfRule type="cellIs" dxfId="3462" priority="953" operator="greaterThan">
      <formula>1</formula>
    </cfRule>
    <cfRule type="cellIs" dxfId="3461" priority="954" operator="between">
      <formula>0.95</formula>
      <formula>1</formula>
    </cfRule>
    <cfRule type="cellIs" dxfId="3460" priority="955" stopIfTrue="1" operator="between">
      <formula>0</formula>
      <formula>0.5</formula>
    </cfRule>
  </conditionalFormatting>
  <conditionalFormatting sqref="Z37">
    <cfRule type="cellIs" dxfId="3459" priority="946" operator="between">
      <formula>0.76</formula>
      <formula>0.95</formula>
    </cfRule>
    <cfRule type="cellIs" dxfId="3458" priority="947" operator="between">
      <formula>0.51</formula>
      <formula>0.75</formula>
    </cfRule>
    <cfRule type="cellIs" dxfId="3457" priority="948" operator="greaterThan">
      <formula>1</formula>
    </cfRule>
    <cfRule type="cellIs" dxfId="3456" priority="949" operator="between">
      <formula>0.95</formula>
      <formula>1</formula>
    </cfRule>
    <cfRule type="cellIs" dxfId="3455" priority="950" stopIfTrue="1" operator="between">
      <formula>0</formula>
      <formula>0.5</formula>
    </cfRule>
  </conditionalFormatting>
  <conditionalFormatting sqref="X65">
    <cfRule type="cellIs" dxfId="3454" priority="941" operator="between">
      <formula>0.76</formula>
      <formula>0.95</formula>
    </cfRule>
    <cfRule type="cellIs" dxfId="3453" priority="942" operator="between">
      <formula>0.51</formula>
      <formula>0.75</formula>
    </cfRule>
    <cfRule type="cellIs" dxfId="3452" priority="943" operator="greaterThan">
      <formula>1</formula>
    </cfRule>
    <cfRule type="cellIs" dxfId="3451" priority="944" operator="between">
      <formula>0.95</formula>
      <formula>1</formula>
    </cfRule>
    <cfRule type="cellIs" dxfId="3450" priority="945" stopIfTrue="1" operator="between">
      <formula>0</formula>
      <formula>0.5</formula>
    </cfRule>
  </conditionalFormatting>
  <conditionalFormatting sqref="Z65">
    <cfRule type="cellIs" dxfId="3449" priority="936" operator="between">
      <formula>0.76</formula>
      <formula>0.95</formula>
    </cfRule>
    <cfRule type="cellIs" dxfId="3448" priority="937" operator="between">
      <formula>0.51</formula>
      <formula>0.75</formula>
    </cfRule>
    <cfRule type="cellIs" dxfId="3447" priority="938" operator="greaterThan">
      <formula>1</formula>
    </cfRule>
    <cfRule type="cellIs" dxfId="3446" priority="939" operator="between">
      <formula>0.95</formula>
      <formula>1</formula>
    </cfRule>
    <cfRule type="cellIs" dxfId="3445" priority="940" stopIfTrue="1" operator="between">
      <formula>0</formula>
      <formula>0.5</formula>
    </cfRule>
  </conditionalFormatting>
  <conditionalFormatting sqref="X77">
    <cfRule type="cellIs" dxfId="3444" priority="931" operator="between">
      <formula>0.76</formula>
      <formula>0.95</formula>
    </cfRule>
    <cfRule type="cellIs" dxfId="3443" priority="932" operator="between">
      <formula>0.51</formula>
      <formula>0.75</formula>
    </cfRule>
    <cfRule type="cellIs" dxfId="3442" priority="933" operator="greaterThan">
      <formula>1</formula>
    </cfRule>
    <cfRule type="cellIs" dxfId="3441" priority="934" operator="between">
      <formula>0.95</formula>
      <formula>1</formula>
    </cfRule>
    <cfRule type="cellIs" dxfId="3440" priority="935" stopIfTrue="1" operator="between">
      <formula>0</formula>
      <formula>0.5</formula>
    </cfRule>
  </conditionalFormatting>
  <conditionalFormatting sqref="Z77">
    <cfRule type="cellIs" dxfId="3439" priority="926" operator="between">
      <formula>0.76</formula>
      <formula>0.95</formula>
    </cfRule>
    <cfRule type="cellIs" dxfId="3438" priority="927" operator="between">
      <formula>0.51</formula>
      <formula>0.75</formula>
    </cfRule>
    <cfRule type="cellIs" dxfId="3437" priority="928" operator="greaterThan">
      <formula>1</formula>
    </cfRule>
    <cfRule type="cellIs" dxfId="3436" priority="929" operator="between">
      <formula>0.95</formula>
      <formula>1</formula>
    </cfRule>
    <cfRule type="cellIs" dxfId="3435" priority="930" stopIfTrue="1" operator="between">
      <formula>0</formula>
      <formula>0.5</formula>
    </cfRule>
  </conditionalFormatting>
  <conditionalFormatting sqref="X98">
    <cfRule type="cellIs" dxfId="3434" priority="921" operator="between">
      <formula>0.76</formula>
      <formula>0.95</formula>
    </cfRule>
    <cfRule type="cellIs" dxfId="3433" priority="922" operator="between">
      <formula>0.51</formula>
      <formula>0.75</formula>
    </cfRule>
    <cfRule type="cellIs" dxfId="3432" priority="923" operator="greaterThan">
      <formula>1</formula>
    </cfRule>
    <cfRule type="cellIs" dxfId="3431" priority="924" operator="between">
      <formula>0.95</formula>
      <formula>1</formula>
    </cfRule>
    <cfRule type="cellIs" dxfId="3430" priority="925" stopIfTrue="1" operator="between">
      <formula>0</formula>
      <formula>0.5</formula>
    </cfRule>
  </conditionalFormatting>
  <conditionalFormatting sqref="Z98">
    <cfRule type="cellIs" dxfId="3429" priority="916" operator="between">
      <formula>0.76</formula>
      <formula>0.95</formula>
    </cfRule>
    <cfRule type="cellIs" dxfId="3428" priority="917" operator="between">
      <formula>0.51</formula>
      <formula>0.75</formula>
    </cfRule>
    <cfRule type="cellIs" dxfId="3427" priority="918" operator="greaterThan">
      <formula>1</formula>
    </cfRule>
    <cfRule type="cellIs" dxfId="3426" priority="919" operator="between">
      <formula>0.95</formula>
      <formula>1</formula>
    </cfRule>
    <cfRule type="cellIs" dxfId="3425" priority="920" stopIfTrue="1" operator="between">
      <formula>0</formula>
      <formula>0.5</formula>
    </cfRule>
  </conditionalFormatting>
  <conditionalFormatting sqref="X106">
    <cfRule type="cellIs" dxfId="3424" priority="911" operator="between">
      <formula>0.76</formula>
      <formula>0.95</formula>
    </cfRule>
    <cfRule type="cellIs" dxfId="3423" priority="912" operator="between">
      <formula>0.51</formula>
      <formula>0.75</formula>
    </cfRule>
    <cfRule type="cellIs" dxfId="3422" priority="913" operator="greaterThan">
      <formula>1</formula>
    </cfRule>
    <cfRule type="cellIs" dxfId="3421" priority="914" operator="between">
      <formula>0.95</formula>
      <formula>1</formula>
    </cfRule>
    <cfRule type="cellIs" dxfId="3420" priority="915" stopIfTrue="1" operator="between">
      <formula>0</formula>
      <formula>0.5</formula>
    </cfRule>
  </conditionalFormatting>
  <conditionalFormatting sqref="Z106">
    <cfRule type="cellIs" dxfId="3419" priority="906" operator="between">
      <formula>0.76</formula>
      <formula>0.95</formula>
    </cfRule>
    <cfRule type="cellIs" dxfId="3418" priority="907" operator="between">
      <formula>0.51</formula>
      <formula>0.75</formula>
    </cfRule>
    <cfRule type="cellIs" dxfId="3417" priority="908" operator="greaterThan">
      <formula>1</formula>
    </cfRule>
    <cfRule type="cellIs" dxfId="3416" priority="909" operator="between">
      <formula>0.95</formula>
      <formula>1</formula>
    </cfRule>
    <cfRule type="cellIs" dxfId="3415" priority="910" stopIfTrue="1" operator="between">
      <formula>0</formula>
      <formula>0.5</formula>
    </cfRule>
  </conditionalFormatting>
  <conditionalFormatting sqref="W107">
    <cfRule type="cellIs" dxfId="3414" priority="896" operator="between">
      <formula>0.76</formula>
      <formula>0.95</formula>
    </cfRule>
    <cfRule type="cellIs" dxfId="3413" priority="897" operator="between">
      <formula>0.51</formula>
      <formula>0.75</formula>
    </cfRule>
    <cfRule type="cellIs" dxfId="3412" priority="898" operator="greaterThan">
      <formula>1</formula>
    </cfRule>
    <cfRule type="cellIs" dxfId="3411" priority="899" operator="between">
      <formula>0.95</formula>
      <formula>1</formula>
    </cfRule>
    <cfRule type="cellIs" dxfId="3410" priority="900" stopIfTrue="1" operator="between">
      <formula>0</formula>
      <formula>0.5</formula>
    </cfRule>
  </conditionalFormatting>
  <conditionalFormatting sqref="X107">
    <cfRule type="cellIs" dxfId="3409" priority="891" operator="between">
      <formula>0.76</formula>
      <formula>0.95</formula>
    </cfRule>
    <cfRule type="cellIs" dxfId="3408" priority="892" operator="between">
      <formula>0.51</formula>
      <formula>0.75</formula>
    </cfRule>
    <cfRule type="cellIs" dxfId="3407" priority="893" operator="greaterThan">
      <formula>1</formula>
    </cfRule>
    <cfRule type="cellIs" dxfId="3406" priority="894" operator="between">
      <formula>0.95</formula>
      <formula>1</formula>
    </cfRule>
    <cfRule type="cellIs" dxfId="3405" priority="895" stopIfTrue="1" operator="between">
      <formula>0</formula>
      <formula>0.5</formula>
    </cfRule>
  </conditionalFormatting>
  <conditionalFormatting sqref="Y107">
    <cfRule type="cellIs" dxfId="3404" priority="876" operator="between">
      <formula>0.76</formula>
      <formula>0.95</formula>
    </cfRule>
    <cfRule type="cellIs" dxfId="3403" priority="877" operator="between">
      <formula>0.51</formula>
      <formula>0.75</formula>
    </cfRule>
    <cfRule type="cellIs" dxfId="3402" priority="878" operator="greaterThan">
      <formula>1</formula>
    </cfRule>
    <cfRule type="cellIs" dxfId="3401" priority="879" operator="between">
      <formula>0.95</formula>
      <formula>1</formula>
    </cfRule>
    <cfRule type="cellIs" dxfId="3400" priority="880" stopIfTrue="1" operator="between">
      <formula>0</formula>
      <formula>0.5</formula>
    </cfRule>
  </conditionalFormatting>
  <conditionalFormatting sqref="Z107">
    <cfRule type="cellIs" dxfId="3399" priority="871" operator="between">
      <formula>0.76</formula>
      <formula>0.95</formula>
    </cfRule>
    <cfRule type="cellIs" dxfId="3398" priority="872" operator="between">
      <formula>0.51</formula>
      <formula>0.75</formula>
    </cfRule>
    <cfRule type="cellIs" dxfId="3397" priority="873" operator="greaterThan">
      <formula>1</formula>
    </cfRule>
    <cfRule type="cellIs" dxfId="3396" priority="874" operator="between">
      <formula>0.95</formula>
      <formula>1</formula>
    </cfRule>
    <cfRule type="cellIs" dxfId="3395" priority="875" stopIfTrue="1" operator="between">
      <formula>0</formula>
      <formula>0.5</formula>
    </cfRule>
  </conditionalFormatting>
  <conditionalFormatting sqref="X123">
    <cfRule type="cellIs" dxfId="3394" priority="866" operator="between">
      <formula>0.76</formula>
      <formula>0.95</formula>
    </cfRule>
    <cfRule type="cellIs" dxfId="3393" priority="867" operator="between">
      <formula>0.51</formula>
      <formula>0.75</formula>
    </cfRule>
    <cfRule type="cellIs" dxfId="3392" priority="868" operator="greaterThan">
      <formula>1</formula>
    </cfRule>
    <cfRule type="cellIs" dxfId="3391" priority="869" operator="between">
      <formula>0.95</formula>
      <formula>1</formula>
    </cfRule>
    <cfRule type="cellIs" dxfId="3390" priority="870" stopIfTrue="1" operator="between">
      <formula>0</formula>
      <formula>0.5</formula>
    </cfRule>
  </conditionalFormatting>
  <conditionalFormatting sqref="Z123">
    <cfRule type="cellIs" dxfId="3389" priority="861" operator="between">
      <formula>0.76</formula>
      <formula>0.95</formula>
    </cfRule>
    <cfRule type="cellIs" dxfId="3388" priority="862" operator="between">
      <formula>0.51</formula>
      <formula>0.75</formula>
    </cfRule>
    <cfRule type="cellIs" dxfId="3387" priority="863" operator="greaterThan">
      <formula>1</formula>
    </cfRule>
    <cfRule type="cellIs" dxfId="3386" priority="864" operator="between">
      <formula>0.95</formula>
      <formula>1</formula>
    </cfRule>
    <cfRule type="cellIs" dxfId="3385" priority="865" stopIfTrue="1" operator="between">
      <formula>0</formula>
      <formula>0.5</formula>
    </cfRule>
  </conditionalFormatting>
  <conditionalFormatting sqref="X146">
    <cfRule type="cellIs" dxfId="3384" priority="856" operator="between">
      <formula>0.76</formula>
      <formula>0.95</formula>
    </cfRule>
    <cfRule type="cellIs" dxfId="3383" priority="857" operator="between">
      <formula>0.51</formula>
      <formula>0.75</formula>
    </cfRule>
    <cfRule type="cellIs" dxfId="3382" priority="858" operator="greaterThan">
      <formula>1</formula>
    </cfRule>
    <cfRule type="cellIs" dxfId="3381" priority="859" operator="between">
      <formula>0.95</formula>
      <formula>1</formula>
    </cfRule>
    <cfRule type="cellIs" dxfId="3380" priority="860" stopIfTrue="1" operator="between">
      <formula>0</formula>
      <formula>0.5</formula>
    </cfRule>
  </conditionalFormatting>
  <conditionalFormatting sqref="Z146">
    <cfRule type="cellIs" dxfId="3379" priority="851" operator="between">
      <formula>0.76</formula>
      <formula>0.95</formula>
    </cfRule>
    <cfRule type="cellIs" dxfId="3378" priority="852" operator="between">
      <formula>0.51</formula>
      <formula>0.75</formula>
    </cfRule>
    <cfRule type="cellIs" dxfId="3377" priority="853" operator="greaterThan">
      <formula>1</formula>
    </cfRule>
    <cfRule type="cellIs" dxfId="3376" priority="854" operator="between">
      <formula>0.95</formula>
      <formula>1</formula>
    </cfRule>
    <cfRule type="cellIs" dxfId="3375" priority="855" stopIfTrue="1" operator="between">
      <formula>0</formula>
      <formula>0.5</formula>
    </cfRule>
  </conditionalFormatting>
  <conditionalFormatting sqref="X155">
    <cfRule type="cellIs" dxfId="3374" priority="846" operator="between">
      <formula>0.76</formula>
      <formula>0.95</formula>
    </cfRule>
    <cfRule type="cellIs" dxfId="3373" priority="847" operator="between">
      <formula>0.51</formula>
      <formula>0.75</formula>
    </cfRule>
    <cfRule type="cellIs" dxfId="3372" priority="848" operator="greaterThan">
      <formula>1</formula>
    </cfRule>
    <cfRule type="cellIs" dxfId="3371" priority="849" operator="between">
      <formula>0.95</formula>
      <formula>1</formula>
    </cfRule>
    <cfRule type="cellIs" dxfId="3370" priority="850" stopIfTrue="1" operator="between">
      <formula>0</formula>
      <formula>0.5</formula>
    </cfRule>
  </conditionalFormatting>
  <conditionalFormatting sqref="Z155">
    <cfRule type="cellIs" dxfId="3369" priority="841" operator="between">
      <formula>0.76</formula>
      <formula>0.95</formula>
    </cfRule>
    <cfRule type="cellIs" dxfId="3368" priority="842" operator="between">
      <formula>0.51</formula>
      <formula>0.75</formula>
    </cfRule>
    <cfRule type="cellIs" dxfId="3367" priority="843" operator="greaterThan">
      <formula>1</formula>
    </cfRule>
    <cfRule type="cellIs" dxfId="3366" priority="844" operator="between">
      <formula>0.95</formula>
      <formula>1</formula>
    </cfRule>
    <cfRule type="cellIs" dxfId="3365" priority="845" stopIfTrue="1" operator="between">
      <formula>0</formula>
      <formula>0.5</formula>
    </cfRule>
  </conditionalFormatting>
  <conditionalFormatting sqref="X167">
    <cfRule type="cellIs" dxfId="3364" priority="836" operator="between">
      <formula>0.76</formula>
      <formula>0.95</formula>
    </cfRule>
    <cfRule type="cellIs" dxfId="3363" priority="837" operator="between">
      <formula>0.51</formula>
      <formula>0.75</formula>
    </cfRule>
    <cfRule type="cellIs" dxfId="3362" priority="838" operator="greaterThan">
      <formula>1</formula>
    </cfRule>
    <cfRule type="cellIs" dxfId="3361" priority="839" operator="between">
      <formula>0.95</formula>
      <formula>1</formula>
    </cfRule>
    <cfRule type="cellIs" dxfId="3360" priority="840" stopIfTrue="1" operator="between">
      <formula>0</formula>
      <formula>0.5</formula>
    </cfRule>
  </conditionalFormatting>
  <conditionalFormatting sqref="Z167">
    <cfRule type="cellIs" dxfId="3359" priority="831" operator="between">
      <formula>0.76</formula>
      <formula>0.95</formula>
    </cfRule>
    <cfRule type="cellIs" dxfId="3358" priority="832" operator="between">
      <formula>0.51</formula>
      <formula>0.75</formula>
    </cfRule>
    <cfRule type="cellIs" dxfId="3357" priority="833" operator="greaterThan">
      <formula>1</formula>
    </cfRule>
    <cfRule type="cellIs" dxfId="3356" priority="834" operator="between">
      <formula>0.95</formula>
      <formula>1</formula>
    </cfRule>
    <cfRule type="cellIs" dxfId="3355" priority="835" stopIfTrue="1" operator="between">
      <formula>0</formula>
      <formula>0.5</formula>
    </cfRule>
  </conditionalFormatting>
  <conditionalFormatting sqref="X177">
    <cfRule type="cellIs" dxfId="3354" priority="826" operator="between">
      <formula>0.76</formula>
      <formula>0.95</formula>
    </cfRule>
    <cfRule type="cellIs" dxfId="3353" priority="827" operator="between">
      <formula>0.51</formula>
      <formula>0.75</formula>
    </cfRule>
    <cfRule type="cellIs" dxfId="3352" priority="828" operator="greaterThan">
      <formula>1</formula>
    </cfRule>
    <cfRule type="cellIs" dxfId="3351" priority="829" operator="between">
      <formula>0.95</formula>
      <formula>1</formula>
    </cfRule>
    <cfRule type="cellIs" dxfId="3350" priority="830" stopIfTrue="1" operator="between">
      <formula>0</formula>
      <formula>0.5</formula>
    </cfRule>
  </conditionalFormatting>
  <conditionalFormatting sqref="Z177">
    <cfRule type="cellIs" dxfId="3349" priority="821" operator="between">
      <formula>0.76</formula>
      <formula>0.95</formula>
    </cfRule>
    <cfRule type="cellIs" dxfId="3348" priority="822" operator="between">
      <formula>0.51</formula>
      <formula>0.75</formula>
    </cfRule>
    <cfRule type="cellIs" dxfId="3347" priority="823" operator="greaterThan">
      <formula>1</formula>
    </cfRule>
    <cfRule type="cellIs" dxfId="3346" priority="824" operator="between">
      <formula>0.95</formula>
      <formula>1</formula>
    </cfRule>
    <cfRule type="cellIs" dxfId="3345" priority="825" stopIfTrue="1" operator="between">
      <formula>0</formula>
      <formula>0.5</formula>
    </cfRule>
  </conditionalFormatting>
  <conditionalFormatting sqref="W178">
    <cfRule type="cellIs" dxfId="3344" priority="816" operator="between">
      <formula>0.76</formula>
      <formula>0.95</formula>
    </cfRule>
    <cfRule type="cellIs" dxfId="3343" priority="817" operator="between">
      <formula>0.51</formula>
      <formula>0.75</formula>
    </cfRule>
    <cfRule type="cellIs" dxfId="3342" priority="818" operator="greaterThan">
      <formula>1</formula>
    </cfRule>
    <cfRule type="cellIs" dxfId="3341" priority="819" operator="between">
      <formula>0.95</formula>
      <formula>1</formula>
    </cfRule>
    <cfRule type="cellIs" dxfId="3340" priority="820" stopIfTrue="1" operator="between">
      <formula>0</formula>
      <formula>0.5</formula>
    </cfRule>
  </conditionalFormatting>
  <conditionalFormatting sqref="X227">
    <cfRule type="cellIs" dxfId="3339" priority="666" operator="between">
      <formula>0.76</formula>
      <formula>0.95</formula>
    </cfRule>
    <cfRule type="cellIs" dxfId="3338" priority="667" operator="between">
      <formula>0.51</formula>
      <formula>0.75</formula>
    </cfRule>
    <cfRule type="cellIs" dxfId="3337" priority="668" operator="greaterThan">
      <formula>1</formula>
    </cfRule>
    <cfRule type="cellIs" dxfId="3336" priority="669" operator="between">
      <formula>0.95</formula>
      <formula>1</formula>
    </cfRule>
    <cfRule type="cellIs" dxfId="3335" priority="670" stopIfTrue="1" operator="between">
      <formula>0</formula>
      <formula>0.5</formula>
    </cfRule>
  </conditionalFormatting>
  <conditionalFormatting sqref="X178">
    <cfRule type="cellIs" dxfId="3334" priority="796" operator="between">
      <formula>0.76</formula>
      <formula>0.95</formula>
    </cfRule>
    <cfRule type="cellIs" dxfId="3333" priority="797" operator="between">
      <formula>0.51</formula>
      <formula>0.75</formula>
    </cfRule>
    <cfRule type="cellIs" dxfId="3332" priority="798" operator="greaterThan">
      <formula>1</formula>
    </cfRule>
    <cfRule type="cellIs" dxfId="3331" priority="799" operator="between">
      <formula>0.95</formula>
      <formula>1</formula>
    </cfRule>
    <cfRule type="cellIs" dxfId="3330" priority="800" stopIfTrue="1" operator="between">
      <formula>0</formula>
      <formula>0.5</formula>
    </cfRule>
  </conditionalFormatting>
  <conditionalFormatting sqref="Y178">
    <cfRule type="cellIs" dxfId="3329" priority="791" operator="between">
      <formula>0.76</formula>
      <formula>0.95</formula>
    </cfRule>
    <cfRule type="cellIs" dxfId="3328" priority="792" operator="between">
      <formula>0.51</formula>
      <formula>0.75</formula>
    </cfRule>
    <cfRule type="cellIs" dxfId="3327" priority="793" operator="greaterThan">
      <formula>1</formula>
    </cfRule>
    <cfRule type="cellIs" dxfId="3326" priority="794" operator="between">
      <formula>0.95</formula>
      <formula>1</formula>
    </cfRule>
    <cfRule type="cellIs" dxfId="3325" priority="795" stopIfTrue="1" operator="between">
      <formula>0</formula>
      <formula>0.5</formula>
    </cfRule>
  </conditionalFormatting>
  <conditionalFormatting sqref="Z178">
    <cfRule type="cellIs" dxfId="3324" priority="786" operator="between">
      <formula>0.76</formula>
      <formula>0.95</formula>
    </cfRule>
    <cfRule type="cellIs" dxfId="3323" priority="787" operator="between">
      <formula>0.51</formula>
      <formula>0.75</formula>
    </cfRule>
    <cfRule type="cellIs" dxfId="3322" priority="788" operator="greaterThan">
      <formula>1</formula>
    </cfRule>
    <cfRule type="cellIs" dxfId="3321" priority="789" operator="between">
      <formula>0.95</formula>
      <formula>1</formula>
    </cfRule>
    <cfRule type="cellIs" dxfId="3320" priority="790" stopIfTrue="1" operator="between">
      <formula>0</formula>
      <formula>0.5</formula>
    </cfRule>
  </conditionalFormatting>
  <conditionalFormatting sqref="Z78:Z86 Z90:Z91 Z94:Z97">
    <cfRule type="cellIs" dxfId="3319" priority="781" operator="between">
      <formula>0.76</formula>
      <formula>0.95</formula>
    </cfRule>
    <cfRule type="cellIs" dxfId="3318" priority="782" operator="between">
      <formula>0.51</formula>
      <formula>0.75</formula>
    </cfRule>
    <cfRule type="cellIs" dxfId="3317" priority="783" operator="greaterThan">
      <formula>1</formula>
    </cfRule>
    <cfRule type="cellIs" dxfId="3316" priority="784" operator="between">
      <formula>0.95</formula>
      <formula>1</formula>
    </cfRule>
    <cfRule type="cellIs" dxfId="3315" priority="785" stopIfTrue="1" operator="between">
      <formula>0</formula>
      <formula>0.5</formula>
    </cfRule>
  </conditionalFormatting>
  <conditionalFormatting sqref="X203">
    <cfRule type="cellIs" dxfId="3314" priority="776" operator="between">
      <formula>0.76</formula>
      <formula>0.95</formula>
    </cfRule>
    <cfRule type="cellIs" dxfId="3313" priority="777" operator="between">
      <formula>0.51</formula>
      <formula>0.75</formula>
    </cfRule>
    <cfRule type="cellIs" dxfId="3312" priority="778" operator="greaterThan">
      <formula>1</formula>
    </cfRule>
    <cfRule type="cellIs" dxfId="3311" priority="779" operator="between">
      <formula>0.95</formula>
      <formula>1</formula>
    </cfRule>
    <cfRule type="cellIs" dxfId="3310" priority="780" stopIfTrue="1" operator="between">
      <formula>0</formula>
      <formula>0.5</formula>
    </cfRule>
  </conditionalFormatting>
  <conditionalFormatting sqref="Z203">
    <cfRule type="cellIs" dxfId="3309" priority="771" operator="between">
      <formula>0.76</formula>
      <formula>0.95</formula>
    </cfRule>
    <cfRule type="cellIs" dxfId="3308" priority="772" operator="between">
      <formula>0.51</formula>
      <formula>0.75</formula>
    </cfRule>
    <cfRule type="cellIs" dxfId="3307" priority="773" operator="greaterThan">
      <formula>1</formula>
    </cfRule>
    <cfRule type="cellIs" dxfId="3306" priority="774" operator="between">
      <formula>0.95</formula>
      <formula>1</formula>
    </cfRule>
    <cfRule type="cellIs" dxfId="3305" priority="775" stopIfTrue="1" operator="between">
      <formula>0</formula>
      <formula>0.5</formula>
    </cfRule>
  </conditionalFormatting>
  <conditionalFormatting sqref="X206">
    <cfRule type="cellIs" dxfId="3304" priority="766" operator="between">
      <formula>0.76</formula>
      <formula>0.95</formula>
    </cfRule>
    <cfRule type="cellIs" dxfId="3303" priority="767" operator="between">
      <formula>0.51</formula>
      <formula>0.75</formula>
    </cfRule>
    <cfRule type="cellIs" dxfId="3302" priority="768" operator="greaterThan">
      <formula>1</formula>
    </cfRule>
    <cfRule type="cellIs" dxfId="3301" priority="769" operator="between">
      <formula>0.95</formula>
      <formula>1</formula>
    </cfRule>
    <cfRule type="cellIs" dxfId="3300" priority="770" stopIfTrue="1" operator="between">
      <formula>0</formula>
      <formula>0.5</formula>
    </cfRule>
  </conditionalFormatting>
  <conditionalFormatting sqref="Z206">
    <cfRule type="cellIs" dxfId="3299" priority="761" operator="between">
      <formula>0.76</formula>
      <formula>0.95</formula>
    </cfRule>
    <cfRule type="cellIs" dxfId="3298" priority="762" operator="between">
      <formula>0.51</formula>
      <formula>0.75</formula>
    </cfRule>
    <cfRule type="cellIs" dxfId="3297" priority="763" operator="greaterThan">
      <formula>1</formula>
    </cfRule>
    <cfRule type="cellIs" dxfId="3296" priority="764" operator="between">
      <formula>0.95</formula>
      <formula>1</formula>
    </cfRule>
    <cfRule type="cellIs" dxfId="3295" priority="765" stopIfTrue="1" operator="between">
      <formula>0</formula>
      <formula>0.5</formula>
    </cfRule>
  </conditionalFormatting>
  <conditionalFormatting sqref="X210">
    <cfRule type="cellIs" dxfId="3294" priority="756" operator="between">
      <formula>0.76</formula>
      <formula>0.95</formula>
    </cfRule>
    <cfRule type="cellIs" dxfId="3293" priority="757" operator="between">
      <formula>0.51</formula>
      <formula>0.75</formula>
    </cfRule>
    <cfRule type="cellIs" dxfId="3292" priority="758" operator="greaterThan">
      <formula>1</formula>
    </cfRule>
    <cfRule type="cellIs" dxfId="3291" priority="759" operator="between">
      <formula>0.95</formula>
      <formula>1</formula>
    </cfRule>
    <cfRule type="cellIs" dxfId="3290" priority="760" stopIfTrue="1" operator="between">
      <formula>0</formula>
      <formula>0.5</formula>
    </cfRule>
  </conditionalFormatting>
  <conditionalFormatting sqref="Z210">
    <cfRule type="cellIs" dxfId="3289" priority="751" operator="between">
      <formula>0.76</formula>
      <formula>0.95</formula>
    </cfRule>
    <cfRule type="cellIs" dxfId="3288" priority="752" operator="between">
      <formula>0.51</formula>
      <formula>0.75</formula>
    </cfRule>
    <cfRule type="cellIs" dxfId="3287" priority="753" operator="greaterThan">
      <formula>1</formula>
    </cfRule>
    <cfRule type="cellIs" dxfId="3286" priority="754" operator="between">
      <formula>0.95</formula>
      <formula>1</formula>
    </cfRule>
    <cfRule type="cellIs" dxfId="3285" priority="755" stopIfTrue="1" operator="between">
      <formula>0</formula>
      <formula>0.5</formula>
    </cfRule>
  </conditionalFormatting>
  <conditionalFormatting sqref="X218">
    <cfRule type="cellIs" dxfId="3284" priority="746" operator="between">
      <formula>0.76</formula>
      <formula>0.95</formula>
    </cfRule>
    <cfRule type="cellIs" dxfId="3283" priority="747" operator="between">
      <formula>0.51</formula>
      <formula>0.75</formula>
    </cfRule>
    <cfRule type="cellIs" dxfId="3282" priority="748" operator="greaterThan">
      <formula>1</formula>
    </cfRule>
    <cfRule type="cellIs" dxfId="3281" priority="749" operator="between">
      <formula>0.95</formula>
      <formula>1</formula>
    </cfRule>
    <cfRule type="cellIs" dxfId="3280" priority="750" stopIfTrue="1" operator="between">
      <formula>0</formula>
      <formula>0.5</formula>
    </cfRule>
  </conditionalFormatting>
  <conditionalFormatting sqref="Z218">
    <cfRule type="cellIs" dxfId="3279" priority="741" operator="between">
      <formula>0.76</formula>
      <formula>0.95</formula>
    </cfRule>
    <cfRule type="cellIs" dxfId="3278" priority="742" operator="between">
      <formula>0.51</formula>
      <formula>0.75</formula>
    </cfRule>
    <cfRule type="cellIs" dxfId="3277" priority="743" operator="greaterThan">
      <formula>1</formula>
    </cfRule>
    <cfRule type="cellIs" dxfId="3276" priority="744" operator="between">
      <formula>0.95</formula>
      <formula>1</formula>
    </cfRule>
    <cfRule type="cellIs" dxfId="3275" priority="745" stopIfTrue="1" operator="between">
      <formula>0</formula>
      <formula>0.5</formula>
    </cfRule>
  </conditionalFormatting>
  <conditionalFormatting sqref="W219">
    <cfRule type="cellIs" dxfId="3274" priority="736" operator="between">
      <formula>0.76</formula>
      <formula>0.95</formula>
    </cfRule>
    <cfRule type="cellIs" dxfId="3273" priority="737" operator="between">
      <formula>0.51</formula>
      <formula>0.75</formula>
    </cfRule>
    <cfRule type="cellIs" dxfId="3272" priority="738" operator="greaterThan">
      <formula>1</formula>
    </cfRule>
    <cfRule type="cellIs" dxfId="3271" priority="739" operator="between">
      <formula>0.95</formula>
      <formula>1</formula>
    </cfRule>
    <cfRule type="cellIs" dxfId="3270" priority="740" stopIfTrue="1" operator="between">
      <formula>0</formula>
      <formula>0.5</formula>
    </cfRule>
  </conditionalFormatting>
  <conditionalFormatting sqref="X219">
    <cfRule type="cellIs" dxfId="3269" priority="726" operator="between">
      <formula>0.76</formula>
      <formula>0.95</formula>
    </cfRule>
    <cfRule type="cellIs" dxfId="3268" priority="727" operator="between">
      <formula>0.51</formula>
      <formula>0.75</formula>
    </cfRule>
    <cfRule type="cellIs" dxfId="3267" priority="728" operator="greaterThan">
      <formula>1</formula>
    </cfRule>
    <cfRule type="cellIs" dxfId="3266" priority="729" operator="between">
      <formula>0.95</formula>
      <formula>1</formula>
    </cfRule>
    <cfRule type="cellIs" dxfId="3265" priority="730" stopIfTrue="1" operator="between">
      <formula>0</formula>
      <formula>0.5</formula>
    </cfRule>
  </conditionalFormatting>
  <conditionalFormatting sqref="Y219">
    <cfRule type="cellIs" dxfId="3264" priority="716" operator="between">
      <formula>0.76</formula>
      <formula>0.95</formula>
    </cfRule>
    <cfRule type="cellIs" dxfId="3263" priority="717" operator="between">
      <formula>0.51</formula>
      <formula>0.75</formula>
    </cfRule>
    <cfRule type="cellIs" dxfId="3262" priority="718" operator="greaterThan">
      <formula>1</formula>
    </cfRule>
    <cfRule type="cellIs" dxfId="3261" priority="719" operator="between">
      <formula>0.95</formula>
      <formula>1</formula>
    </cfRule>
    <cfRule type="cellIs" dxfId="3260" priority="720" stopIfTrue="1" operator="between">
      <formula>0</formula>
      <formula>0.5</formula>
    </cfRule>
  </conditionalFormatting>
  <conditionalFormatting sqref="Z219">
    <cfRule type="cellIs" dxfId="3259" priority="711" operator="between">
      <formula>0.76</formula>
      <formula>0.95</formula>
    </cfRule>
    <cfRule type="cellIs" dxfId="3258" priority="712" operator="between">
      <formula>0.51</formula>
      <formula>0.75</formula>
    </cfRule>
    <cfRule type="cellIs" dxfId="3257" priority="713" operator="greaterThan">
      <formula>1</formula>
    </cfRule>
    <cfRule type="cellIs" dxfId="3256" priority="714" operator="between">
      <formula>0.95</formula>
      <formula>1</formula>
    </cfRule>
    <cfRule type="cellIs" dxfId="3255" priority="715" stopIfTrue="1" operator="between">
      <formula>0</formula>
      <formula>0.5</formula>
    </cfRule>
  </conditionalFormatting>
  <conditionalFormatting sqref="X223">
    <cfRule type="cellIs" dxfId="3254" priority="706" operator="between">
      <formula>0.76</formula>
      <formula>0.95</formula>
    </cfRule>
    <cfRule type="cellIs" dxfId="3253" priority="707" operator="between">
      <formula>0.51</formula>
      <formula>0.75</formula>
    </cfRule>
    <cfRule type="cellIs" dxfId="3252" priority="708" operator="greaterThan">
      <formula>1</formula>
    </cfRule>
    <cfRule type="cellIs" dxfId="3251" priority="709" operator="between">
      <formula>0.95</formula>
      <formula>1</formula>
    </cfRule>
    <cfRule type="cellIs" dxfId="3250" priority="710" stopIfTrue="1" operator="between">
      <formula>0</formula>
      <formula>0.5</formula>
    </cfRule>
  </conditionalFormatting>
  <conditionalFormatting sqref="Z223">
    <cfRule type="cellIs" dxfId="3249" priority="701" operator="between">
      <formula>0.76</formula>
      <formula>0.95</formula>
    </cfRule>
    <cfRule type="cellIs" dxfId="3248" priority="702" operator="between">
      <formula>0.51</formula>
      <formula>0.75</formula>
    </cfRule>
    <cfRule type="cellIs" dxfId="3247" priority="703" operator="greaterThan">
      <formula>1</formula>
    </cfRule>
    <cfRule type="cellIs" dxfId="3246" priority="704" operator="between">
      <formula>0.95</formula>
      <formula>1</formula>
    </cfRule>
    <cfRule type="cellIs" dxfId="3245" priority="705" stopIfTrue="1" operator="between">
      <formula>0</formula>
      <formula>0.5</formula>
    </cfRule>
  </conditionalFormatting>
  <conditionalFormatting sqref="X224">
    <cfRule type="cellIs" dxfId="3244" priority="696" operator="between">
      <formula>0.76</formula>
      <formula>0.95</formula>
    </cfRule>
    <cfRule type="cellIs" dxfId="3243" priority="697" operator="between">
      <formula>0.51</formula>
      <formula>0.75</formula>
    </cfRule>
    <cfRule type="cellIs" dxfId="3242" priority="698" operator="greaterThan">
      <formula>1</formula>
    </cfRule>
    <cfRule type="cellIs" dxfId="3241" priority="699" operator="between">
      <formula>0.95</formula>
      <formula>1</formula>
    </cfRule>
    <cfRule type="cellIs" dxfId="3240" priority="700" stopIfTrue="1" operator="between">
      <formula>0</formula>
      <formula>0.5</formula>
    </cfRule>
  </conditionalFormatting>
  <conditionalFormatting sqref="Z224">
    <cfRule type="cellIs" dxfId="3239" priority="691" operator="between">
      <formula>0.76</formula>
      <formula>0.95</formula>
    </cfRule>
    <cfRule type="cellIs" dxfId="3238" priority="692" operator="between">
      <formula>0.51</formula>
      <formula>0.75</formula>
    </cfRule>
    <cfRule type="cellIs" dxfId="3237" priority="693" operator="greaterThan">
      <formula>1</formula>
    </cfRule>
    <cfRule type="cellIs" dxfId="3236" priority="694" operator="between">
      <formula>0.95</formula>
      <formula>1</formula>
    </cfRule>
    <cfRule type="cellIs" dxfId="3235" priority="695" stopIfTrue="1" operator="between">
      <formula>0</formula>
      <formula>0.5</formula>
    </cfRule>
  </conditionalFormatting>
  <conditionalFormatting sqref="X225">
    <cfRule type="cellIs" dxfId="3234" priority="686" operator="between">
      <formula>0.76</formula>
      <formula>0.95</formula>
    </cfRule>
    <cfRule type="cellIs" dxfId="3233" priority="687" operator="between">
      <formula>0.51</formula>
      <formula>0.75</formula>
    </cfRule>
    <cfRule type="cellIs" dxfId="3232" priority="688" operator="greaterThan">
      <formula>1</formula>
    </cfRule>
    <cfRule type="cellIs" dxfId="3231" priority="689" operator="between">
      <formula>0.95</formula>
      <formula>1</formula>
    </cfRule>
    <cfRule type="cellIs" dxfId="3230" priority="690" stopIfTrue="1" operator="between">
      <formula>0</formula>
      <formula>0.5</formula>
    </cfRule>
  </conditionalFormatting>
  <conditionalFormatting sqref="Z225">
    <cfRule type="cellIs" dxfId="3229" priority="681" operator="between">
      <formula>0.76</formula>
      <formula>0.95</formula>
    </cfRule>
    <cfRule type="cellIs" dxfId="3228" priority="682" operator="between">
      <formula>0.51</formula>
      <formula>0.75</formula>
    </cfRule>
    <cfRule type="cellIs" dxfId="3227" priority="683" operator="greaterThan">
      <formula>1</formula>
    </cfRule>
    <cfRule type="cellIs" dxfId="3226" priority="684" operator="between">
      <formula>0.95</formula>
      <formula>1</formula>
    </cfRule>
    <cfRule type="cellIs" dxfId="3225" priority="685" stopIfTrue="1" operator="between">
      <formula>0</formula>
      <formula>0.5</formula>
    </cfRule>
  </conditionalFormatting>
  <conditionalFormatting sqref="X226">
    <cfRule type="cellIs" dxfId="3224" priority="676" operator="between">
      <formula>0.76</formula>
      <formula>0.95</formula>
    </cfRule>
    <cfRule type="cellIs" dxfId="3223" priority="677" operator="between">
      <formula>0.51</formula>
      <formula>0.75</formula>
    </cfRule>
    <cfRule type="cellIs" dxfId="3222" priority="678" operator="greaterThan">
      <formula>1</formula>
    </cfRule>
    <cfRule type="cellIs" dxfId="3221" priority="679" operator="between">
      <formula>0.95</formula>
      <formula>1</formula>
    </cfRule>
    <cfRule type="cellIs" dxfId="3220" priority="680" stopIfTrue="1" operator="between">
      <formula>0</formula>
      <formula>0.5</formula>
    </cfRule>
  </conditionalFormatting>
  <conditionalFormatting sqref="Z226">
    <cfRule type="cellIs" dxfId="3219" priority="671" operator="between">
      <formula>0.76</formula>
      <formula>0.95</formula>
    </cfRule>
    <cfRule type="cellIs" dxfId="3218" priority="672" operator="between">
      <formula>0.51</formula>
      <formula>0.75</formula>
    </cfRule>
    <cfRule type="cellIs" dxfId="3217" priority="673" operator="greaterThan">
      <formula>1</formula>
    </cfRule>
    <cfRule type="cellIs" dxfId="3216" priority="674" operator="between">
      <formula>0.95</formula>
      <formula>1</formula>
    </cfRule>
    <cfRule type="cellIs" dxfId="3215" priority="675" stopIfTrue="1" operator="between">
      <formula>0</formula>
      <formula>0.5</formula>
    </cfRule>
  </conditionalFormatting>
  <conditionalFormatting sqref="Z227">
    <cfRule type="cellIs" dxfId="3214" priority="661" operator="between">
      <formula>0.3751</formula>
      <formula>0.475</formula>
    </cfRule>
    <cfRule type="cellIs" dxfId="3213" priority="662" operator="between">
      <formula>0.2551</formula>
      <formula>0.375</formula>
    </cfRule>
    <cfRule type="cellIs" dxfId="3212" priority="663" operator="greaterThan">
      <formula>0.505</formula>
    </cfRule>
    <cfRule type="cellIs" dxfId="3211" priority="664" operator="between">
      <formula>0.48</formula>
      <formula>0.51</formula>
    </cfRule>
    <cfRule type="cellIs" dxfId="3210" priority="665" stopIfTrue="1" operator="between">
      <formula>0</formula>
      <formula>0.255</formula>
    </cfRule>
  </conditionalFormatting>
  <conditionalFormatting sqref="AE38:AE64 AE66:AE76 AE78:AE86 AE90:AE91 AE94:AE97 AE99:AE105 AE124:AE145 AE147:AE154 AE156:AE166 AE168:AE176 AE179:AE202 AE204:AE205 AE207:AE209 AE211:AE217 AE220:AE222">
    <cfRule type="cellIs" dxfId="3209" priority="656" operator="between">
      <formula>0.76</formula>
      <formula>0.95</formula>
    </cfRule>
    <cfRule type="cellIs" dxfId="3208" priority="657" operator="between">
      <formula>0.51</formula>
      <formula>0.75</formula>
    </cfRule>
    <cfRule type="cellIs" dxfId="3207" priority="658" operator="greaterThan">
      <formula>1</formula>
    </cfRule>
    <cfRule type="cellIs" dxfId="3206" priority="659" operator="between">
      <formula>0.95</formula>
      <formula>1</formula>
    </cfRule>
    <cfRule type="cellIs" dxfId="3205" priority="660" stopIfTrue="1" operator="between">
      <formula>0</formula>
      <formula>0.5</formula>
    </cfRule>
  </conditionalFormatting>
  <conditionalFormatting sqref="AG38:AG64 AG66:AG76 AG78:AG86 AG90:AG91 AG94:AG97 AG99:AG105 AG124:AG145 AG147:AG154 AG156:AG166 AG168:AG176 AG179:AG202 AG204:AG205 AG207:AG209 AG211:AG217 AG220:AG222">
    <cfRule type="cellIs" dxfId="3204" priority="651" operator="between">
      <formula>0.76</formula>
      <formula>0.95</formula>
    </cfRule>
    <cfRule type="cellIs" dxfId="3203" priority="652" operator="between">
      <formula>0.51</formula>
      <formula>0.75</formula>
    </cfRule>
    <cfRule type="cellIs" dxfId="3202" priority="653" operator="greaterThan">
      <formula>1</formula>
    </cfRule>
    <cfRule type="cellIs" dxfId="3201" priority="654" operator="between">
      <formula>0.95</formula>
      <formula>1</formula>
    </cfRule>
    <cfRule type="cellIs" dxfId="3200" priority="655" stopIfTrue="1" operator="between">
      <formula>0</formula>
      <formula>0.5</formula>
    </cfRule>
  </conditionalFormatting>
  <conditionalFormatting sqref="AE37">
    <cfRule type="cellIs" dxfId="3199" priority="646" operator="between">
      <formula>0.76</formula>
      <formula>0.95</formula>
    </cfRule>
    <cfRule type="cellIs" dxfId="3198" priority="647" operator="between">
      <formula>0.51</formula>
      <formula>0.75</formula>
    </cfRule>
    <cfRule type="cellIs" dxfId="3197" priority="648" operator="greaterThan">
      <formula>1</formula>
    </cfRule>
    <cfRule type="cellIs" dxfId="3196" priority="649" operator="between">
      <formula>0.95</formula>
      <formula>1</formula>
    </cfRule>
    <cfRule type="cellIs" dxfId="3195" priority="650" stopIfTrue="1" operator="between">
      <formula>0</formula>
      <formula>0.5</formula>
    </cfRule>
  </conditionalFormatting>
  <conditionalFormatting sqref="AG37">
    <cfRule type="cellIs" dxfId="3194" priority="641" operator="between">
      <formula>0.76</formula>
      <formula>0.95</formula>
    </cfRule>
    <cfRule type="cellIs" dxfId="3193" priority="642" operator="between">
      <formula>0.51</formula>
      <formula>0.75</formula>
    </cfRule>
    <cfRule type="cellIs" dxfId="3192" priority="643" operator="greaterThan">
      <formula>1</formula>
    </cfRule>
    <cfRule type="cellIs" dxfId="3191" priority="644" operator="between">
      <formula>0.95</formula>
      <formula>1</formula>
    </cfRule>
    <cfRule type="cellIs" dxfId="3190" priority="645" stopIfTrue="1" operator="between">
      <formula>0</formula>
      <formula>0.5</formula>
    </cfRule>
  </conditionalFormatting>
  <conditionalFormatting sqref="AE65">
    <cfRule type="cellIs" dxfId="3189" priority="636" operator="between">
      <formula>0.76</formula>
      <formula>0.95</formula>
    </cfRule>
    <cfRule type="cellIs" dxfId="3188" priority="637" operator="between">
      <formula>0.51</formula>
      <formula>0.75</formula>
    </cfRule>
    <cfRule type="cellIs" dxfId="3187" priority="638" operator="greaterThan">
      <formula>1</formula>
    </cfRule>
    <cfRule type="cellIs" dxfId="3186" priority="639" operator="between">
      <formula>0.95</formula>
      <formula>1</formula>
    </cfRule>
    <cfRule type="cellIs" dxfId="3185" priority="640" stopIfTrue="1" operator="between">
      <formula>0</formula>
      <formula>0.5</formula>
    </cfRule>
  </conditionalFormatting>
  <conditionalFormatting sqref="AG65">
    <cfRule type="cellIs" dxfId="3184" priority="631" operator="between">
      <formula>0.76</formula>
      <formula>0.95</formula>
    </cfRule>
    <cfRule type="cellIs" dxfId="3183" priority="632" operator="between">
      <formula>0.51</formula>
      <formula>0.75</formula>
    </cfRule>
    <cfRule type="cellIs" dxfId="3182" priority="633" operator="greaterThan">
      <formula>1</formula>
    </cfRule>
    <cfRule type="cellIs" dxfId="3181" priority="634" operator="between">
      <formula>0.95</formula>
      <formula>1</formula>
    </cfRule>
    <cfRule type="cellIs" dxfId="3180" priority="635" stopIfTrue="1" operator="between">
      <formula>0</formula>
      <formula>0.5</formula>
    </cfRule>
  </conditionalFormatting>
  <conditionalFormatting sqref="AE77">
    <cfRule type="cellIs" dxfId="3179" priority="626" operator="between">
      <formula>0.76</formula>
      <formula>0.95</formula>
    </cfRule>
    <cfRule type="cellIs" dxfId="3178" priority="627" operator="between">
      <formula>0.51</formula>
      <formula>0.75</formula>
    </cfRule>
    <cfRule type="cellIs" dxfId="3177" priority="628" operator="greaterThan">
      <formula>1</formula>
    </cfRule>
    <cfRule type="cellIs" dxfId="3176" priority="629" operator="between">
      <formula>0.95</formula>
      <formula>1</formula>
    </cfRule>
    <cfRule type="cellIs" dxfId="3175" priority="630" stopIfTrue="1" operator="between">
      <formula>0</formula>
      <formula>0.5</formula>
    </cfRule>
  </conditionalFormatting>
  <conditionalFormatting sqref="AG77">
    <cfRule type="cellIs" dxfId="3174" priority="621" operator="between">
      <formula>0.76</formula>
      <formula>0.95</formula>
    </cfRule>
    <cfRule type="cellIs" dxfId="3173" priority="622" operator="between">
      <formula>0.51</formula>
      <formula>0.75</formula>
    </cfRule>
    <cfRule type="cellIs" dxfId="3172" priority="623" operator="greaterThan">
      <formula>1</formula>
    </cfRule>
    <cfRule type="cellIs" dxfId="3171" priority="624" operator="between">
      <formula>0.95</formula>
      <formula>1</formula>
    </cfRule>
    <cfRule type="cellIs" dxfId="3170" priority="625" stopIfTrue="1" operator="between">
      <formula>0</formula>
      <formula>0.5</formula>
    </cfRule>
  </conditionalFormatting>
  <conditionalFormatting sqref="AE98">
    <cfRule type="cellIs" dxfId="3169" priority="616" operator="between">
      <formula>0.76</formula>
      <formula>0.95</formula>
    </cfRule>
    <cfRule type="cellIs" dxfId="3168" priority="617" operator="between">
      <formula>0.51</formula>
      <formula>0.75</formula>
    </cfRule>
    <cfRule type="cellIs" dxfId="3167" priority="618" operator="greaterThan">
      <formula>1</formula>
    </cfRule>
    <cfRule type="cellIs" dxfId="3166" priority="619" operator="between">
      <formula>0.95</formula>
      <formula>1</formula>
    </cfRule>
    <cfRule type="cellIs" dxfId="3165" priority="620" stopIfTrue="1" operator="between">
      <formula>0</formula>
      <formula>0.5</formula>
    </cfRule>
  </conditionalFormatting>
  <conditionalFormatting sqref="AG98">
    <cfRule type="cellIs" dxfId="3164" priority="611" operator="between">
      <formula>0.76</formula>
      <formula>0.95</formula>
    </cfRule>
    <cfRule type="cellIs" dxfId="3163" priority="612" operator="between">
      <formula>0.51</formula>
      <formula>0.75</formula>
    </cfRule>
    <cfRule type="cellIs" dxfId="3162" priority="613" operator="greaterThan">
      <formula>1</formula>
    </cfRule>
    <cfRule type="cellIs" dxfId="3161" priority="614" operator="between">
      <formula>0.95</formula>
      <formula>1</formula>
    </cfRule>
    <cfRule type="cellIs" dxfId="3160" priority="615" stopIfTrue="1" operator="between">
      <formula>0</formula>
      <formula>0.5</formula>
    </cfRule>
  </conditionalFormatting>
  <conditionalFormatting sqref="AE106">
    <cfRule type="cellIs" dxfId="3159" priority="606" operator="between">
      <formula>0.76</formula>
      <formula>0.95</formula>
    </cfRule>
    <cfRule type="cellIs" dxfId="3158" priority="607" operator="between">
      <formula>0.51</formula>
      <formula>0.75</formula>
    </cfRule>
    <cfRule type="cellIs" dxfId="3157" priority="608" operator="greaterThan">
      <formula>1</formula>
    </cfRule>
    <cfRule type="cellIs" dxfId="3156" priority="609" operator="between">
      <formula>0.95</formula>
      <formula>1</formula>
    </cfRule>
    <cfRule type="cellIs" dxfId="3155" priority="610" stopIfTrue="1" operator="between">
      <formula>0</formula>
      <formula>0.5</formula>
    </cfRule>
  </conditionalFormatting>
  <conditionalFormatting sqref="AG106">
    <cfRule type="cellIs" dxfId="3154" priority="601" operator="between">
      <formula>0.76</formula>
      <formula>0.95</formula>
    </cfRule>
    <cfRule type="cellIs" dxfId="3153" priority="602" operator="between">
      <formula>0.51</formula>
      <formula>0.75</formula>
    </cfRule>
    <cfRule type="cellIs" dxfId="3152" priority="603" operator="greaterThan">
      <formula>1</formula>
    </cfRule>
    <cfRule type="cellIs" dxfId="3151" priority="604" operator="between">
      <formula>0.95</formula>
      <formula>1</formula>
    </cfRule>
    <cfRule type="cellIs" dxfId="3150" priority="605" stopIfTrue="1" operator="between">
      <formula>0</formula>
      <formula>0.5</formula>
    </cfRule>
  </conditionalFormatting>
  <conditionalFormatting sqref="AD107">
    <cfRule type="cellIs" dxfId="3149" priority="596" operator="between">
      <formula>0.76</formula>
      <formula>0.95</formula>
    </cfRule>
    <cfRule type="cellIs" dxfId="3148" priority="597" operator="between">
      <formula>0.51</formula>
      <formula>0.75</formula>
    </cfRule>
    <cfRule type="cellIs" dxfId="3147" priority="598" operator="greaterThan">
      <formula>1</formula>
    </cfRule>
    <cfRule type="cellIs" dxfId="3146" priority="599" operator="between">
      <formula>0.95</formula>
      <formula>1</formula>
    </cfRule>
    <cfRule type="cellIs" dxfId="3145" priority="600" stopIfTrue="1" operator="between">
      <formula>0</formula>
      <formula>0.5</formula>
    </cfRule>
  </conditionalFormatting>
  <conditionalFormatting sqref="AE107">
    <cfRule type="cellIs" dxfId="3144" priority="591" operator="between">
      <formula>0.76</formula>
      <formula>0.95</formula>
    </cfRule>
    <cfRule type="cellIs" dxfId="3143" priority="592" operator="between">
      <formula>0.51</formula>
      <formula>0.75</formula>
    </cfRule>
    <cfRule type="cellIs" dxfId="3142" priority="593" operator="greaterThan">
      <formula>1</formula>
    </cfRule>
    <cfRule type="cellIs" dxfId="3141" priority="594" operator="between">
      <formula>0.95</formula>
      <formula>1</formula>
    </cfRule>
    <cfRule type="cellIs" dxfId="3140" priority="595" stopIfTrue="1" operator="between">
      <formula>0</formula>
      <formula>0.5</formula>
    </cfRule>
  </conditionalFormatting>
  <conditionalFormatting sqref="AF107">
    <cfRule type="cellIs" dxfId="3139" priority="576" operator="between">
      <formula>0.76</formula>
      <formula>0.95</formula>
    </cfRule>
    <cfRule type="cellIs" dxfId="3138" priority="577" operator="between">
      <formula>0.51</formula>
      <formula>0.75</formula>
    </cfRule>
    <cfRule type="cellIs" dxfId="3137" priority="578" operator="greaterThan">
      <formula>1</formula>
    </cfRule>
    <cfRule type="cellIs" dxfId="3136" priority="579" operator="between">
      <formula>0.95</formula>
      <formula>1</formula>
    </cfRule>
    <cfRule type="cellIs" dxfId="3135" priority="580" stopIfTrue="1" operator="between">
      <formula>0</formula>
      <formula>0.5</formula>
    </cfRule>
  </conditionalFormatting>
  <conditionalFormatting sqref="AG107">
    <cfRule type="cellIs" dxfId="3134" priority="571" operator="between">
      <formula>0.76</formula>
      <formula>0.95</formula>
    </cfRule>
    <cfRule type="cellIs" dxfId="3133" priority="572" operator="between">
      <formula>0.51</formula>
      <formula>0.75</formula>
    </cfRule>
    <cfRule type="cellIs" dxfId="3132" priority="573" operator="greaterThan">
      <formula>1</formula>
    </cfRule>
    <cfRule type="cellIs" dxfId="3131" priority="574" operator="between">
      <formula>0.95</formula>
      <formula>1</formula>
    </cfRule>
    <cfRule type="cellIs" dxfId="3130" priority="575" stopIfTrue="1" operator="between">
      <formula>0</formula>
      <formula>0.5</formula>
    </cfRule>
  </conditionalFormatting>
  <conditionalFormatting sqref="AE123">
    <cfRule type="cellIs" dxfId="3129" priority="566" operator="between">
      <formula>0.76</formula>
      <formula>0.95</formula>
    </cfRule>
    <cfRule type="cellIs" dxfId="3128" priority="567" operator="between">
      <formula>0.51</formula>
      <formula>0.75</formula>
    </cfRule>
    <cfRule type="cellIs" dxfId="3127" priority="568" operator="greaterThan">
      <formula>1</formula>
    </cfRule>
    <cfRule type="cellIs" dxfId="3126" priority="569" operator="between">
      <formula>0.95</formula>
      <formula>1</formula>
    </cfRule>
    <cfRule type="cellIs" dxfId="3125" priority="570" stopIfTrue="1" operator="between">
      <formula>0</formula>
      <formula>0.5</formula>
    </cfRule>
  </conditionalFormatting>
  <conditionalFormatting sqref="AG123">
    <cfRule type="cellIs" dxfId="3124" priority="561" operator="between">
      <formula>0.76</formula>
      <formula>0.95</formula>
    </cfRule>
    <cfRule type="cellIs" dxfId="3123" priority="562" operator="between">
      <formula>0.501</formula>
      <formula>0.75</formula>
    </cfRule>
    <cfRule type="cellIs" dxfId="3122" priority="563" operator="greaterThan">
      <formula>1</formula>
    </cfRule>
    <cfRule type="cellIs" dxfId="3121" priority="564" operator="between">
      <formula>0.95</formula>
      <formula>1</formula>
    </cfRule>
    <cfRule type="cellIs" dxfId="3120" priority="565" stopIfTrue="1" operator="between">
      <formula>0</formula>
      <formula>0.5</formula>
    </cfRule>
  </conditionalFormatting>
  <conditionalFormatting sqref="AE146">
    <cfRule type="cellIs" dxfId="3119" priority="556" operator="between">
      <formula>0.76</formula>
      <formula>0.95</formula>
    </cfRule>
    <cfRule type="cellIs" dxfId="3118" priority="557" operator="between">
      <formula>0.51</formula>
      <formula>0.75</formula>
    </cfRule>
    <cfRule type="cellIs" dxfId="3117" priority="558" operator="greaterThan">
      <formula>1</formula>
    </cfRule>
    <cfRule type="cellIs" dxfId="3116" priority="559" operator="between">
      <formula>0.95</formula>
      <formula>1</formula>
    </cfRule>
    <cfRule type="cellIs" dxfId="3115" priority="560" stopIfTrue="1" operator="between">
      <formula>0</formula>
      <formula>0.5</formula>
    </cfRule>
  </conditionalFormatting>
  <conditionalFormatting sqref="AF146">
    <cfRule type="cellIs" dxfId="3114" priority="551" operator="between">
      <formula>0.76</formula>
      <formula>0.95</formula>
    </cfRule>
    <cfRule type="cellIs" dxfId="3113" priority="552" operator="between">
      <formula>0.51</formula>
      <formula>0.75</formula>
    </cfRule>
    <cfRule type="cellIs" dxfId="3112" priority="553" operator="greaterThan">
      <formula>1</formula>
    </cfRule>
    <cfRule type="cellIs" dxfId="3111" priority="554" operator="between">
      <formula>0.95</formula>
      <formula>1</formula>
    </cfRule>
    <cfRule type="cellIs" dxfId="3110" priority="555" stopIfTrue="1" operator="between">
      <formula>0</formula>
      <formula>0.5</formula>
    </cfRule>
  </conditionalFormatting>
  <conditionalFormatting sqref="AG146">
    <cfRule type="cellIs" dxfId="3109" priority="546" operator="between">
      <formula>0.76</formula>
      <formula>0.95</formula>
    </cfRule>
    <cfRule type="cellIs" dxfId="3108" priority="547" operator="between">
      <formula>0.51</formula>
      <formula>0.75</formula>
    </cfRule>
    <cfRule type="cellIs" dxfId="3107" priority="548" operator="greaterThan">
      <formula>1</formula>
    </cfRule>
    <cfRule type="cellIs" dxfId="3106" priority="549" operator="between">
      <formula>0.95</formula>
      <formula>1</formula>
    </cfRule>
    <cfRule type="cellIs" dxfId="3105" priority="550" stopIfTrue="1" operator="between">
      <formula>0</formula>
      <formula>0.5</formula>
    </cfRule>
  </conditionalFormatting>
  <conditionalFormatting sqref="AE155">
    <cfRule type="cellIs" dxfId="3104" priority="541" operator="between">
      <formula>0.76</formula>
      <formula>0.95</formula>
    </cfRule>
    <cfRule type="cellIs" dxfId="3103" priority="542" operator="between">
      <formula>0.51</formula>
      <formula>0.75</formula>
    </cfRule>
    <cfRule type="cellIs" dxfId="3102" priority="543" operator="greaterThan">
      <formula>1</formula>
    </cfRule>
    <cfRule type="cellIs" dxfId="3101" priority="544" operator="between">
      <formula>0.95</formula>
      <formula>1</formula>
    </cfRule>
    <cfRule type="cellIs" dxfId="3100" priority="545" stopIfTrue="1" operator="between">
      <formula>0</formula>
      <formula>0.5</formula>
    </cfRule>
  </conditionalFormatting>
  <conditionalFormatting sqref="AG155">
    <cfRule type="cellIs" dxfId="3099" priority="536" operator="between">
      <formula>0.76</formula>
      <formula>0.95</formula>
    </cfRule>
    <cfRule type="cellIs" dxfId="3098" priority="537" operator="between">
      <formula>0.51</formula>
      <formula>0.75</formula>
    </cfRule>
    <cfRule type="cellIs" dxfId="3097" priority="538" operator="greaterThan">
      <formula>1</formula>
    </cfRule>
    <cfRule type="cellIs" dxfId="3096" priority="539" operator="between">
      <formula>0.95</formula>
      <formula>1</formula>
    </cfRule>
    <cfRule type="cellIs" dxfId="3095" priority="540" stopIfTrue="1" operator="between">
      <formula>0</formula>
      <formula>0.5</formula>
    </cfRule>
  </conditionalFormatting>
  <conditionalFormatting sqref="AE167">
    <cfRule type="cellIs" dxfId="3094" priority="531" operator="between">
      <formula>0.76</formula>
      <formula>0.95</formula>
    </cfRule>
    <cfRule type="cellIs" dxfId="3093" priority="532" operator="between">
      <formula>0.51</formula>
      <formula>0.75</formula>
    </cfRule>
    <cfRule type="cellIs" dxfId="3092" priority="533" operator="greaterThan">
      <formula>1</formula>
    </cfRule>
    <cfRule type="cellIs" dxfId="3091" priority="534" operator="between">
      <formula>0.95</formula>
      <formula>1</formula>
    </cfRule>
    <cfRule type="cellIs" dxfId="3090" priority="535" stopIfTrue="1" operator="between">
      <formula>0</formula>
      <formula>0.5</formula>
    </cfRule>
  </conditionalFormatting>
  <conditionalFormatting sqref="AG167">
    <cfRule type="cellIs" dxfId="3089" priority="526" operator="between">
      <formula>0.76</formula>
      <formula>0.95</formula>
    </cfRule>
    <cfRule type="cellIs" dxfId="3088" priority="527" operator="between">
      <formula>0.51</formula>
      <formula>0.75</formula>
    </cfRule>
    <cfRule type="cellIs" dxfId="3087" priority="528" operator="greaterThan">
      <formula>1</formula>
    </cfRule>
    <cfRule type="cellIs" dxfId="3086" priority="529" operator="between">
      <formula>0.95</formula>
      <formula>1</formula>
    </cfRule>
    <cfRule type="cellIs" dxfId="3085" priority="530" stopIfTrue="1" operator="between">
      <formula>0</formula>
      <formula>0.5</formula>
    </cfRule>
  </conditionalFormatting>
  <conditionalFormatting sqref="AE177">
    <cfRule type="cellIs" dxfId="3084" priority="521" operator="between">
      <formula>0.76</formula>
      <formula>0.95</formula>
    </cfRule>
    <cfRule type="cellIs" dxfId="3083" priority="522" operator="between">
      <formula>0.51</formula>
      <formula>0.75</formula>
    </cfRule>
    <cfRule type="cellIs" dxfId="3082" priority="523" operator="greaterThan">
      <formula>1</formula>
    </cfRule>
    <cfRule type="cellIs" dxfId="3081" priority="524" operator="between">
      <formula>0.95</formula>
      <formula>1</formula>
    </cfRule>
    <cfRule type="cellIs" dxfId="3080" priority="525" stopIfTrue="1" operator="between">
      <formula>0</formula>
      <formula>0.5</formula>
    </cfRule>
  </conditionalFormatting>
  <conditionalFormatting sqref="AG177">
    <cfRule type="cellIs" dxfId="3079" priority="516" operator="between">
      <formula>0.76</formula>
      <formula>0.95</formula>
    </cfRule>
    <cfRule type="cellIs" dxfId="3078" priority="517" operator="between">
      <formula>0.51</formula>
      <formula>0.75</formula>
    </cfRule>
    <cfRule type="cellIs" dxfId="3077" priority="518" operator="greaterThan">
      <formula>1</formula>
    </cfRule>
    <cfRule type="cellIs" dxfId="3076" priority="519" operator="between">
      <formula>0.95</formula>
      <formula>1</formula>
    </cfRule>
    <cfRule type="cellIs" dxfId="3075" priority="520" stopIfTrue="1" operator="between">
      <formula>0</formula>
      <formula>0.5</formula>
    </cfRule>
  </conditionalFormatting>
  <conditionalFormatting sqref="AD178">
    <cfRule type="cellIs" dxfId="3074" priority="511" operator="between">
      <formula>0.76</formula>
      <formula>0.95</formula>
    </cfRule>
    <cfRule type="cellIs" dxfId="3073" priority="512" operator="between">
      <formula>0.51</formula>
      <formula>0.75</formula>
    </cfRule>
    <cfRule type="cellIs" dxfId="3072" priority="513" operator="greaterThan">
      <formula>1</formula>
    </cfRule>
    <cfRule type="cellIs" dxfId="3071" priority="514" operator="between">
      <formula>0.95</formula>
      <formula>1</formula>
    </cfRule>
    <cfRule type="cellIs" dxfId="3070" priority="515" stopIfTrue="1" operator="between">
      <formula>0</formula>
      <formula>0.5</formula>
    </cfRule>
  </conditionalFormatting>
  <conditionalFormatting sqref="AE178">
    <cfRule type="cellIs" dxfId="3069" priority="506" operator="between">
      <formula>0.76</formula>
      <formula>0.95</formula>
    </cfRule>
    <cfRule type="cellIs" dxfId="3068" priority="507" operator="between">
      <formula>0.51</formula>
      <formula>0.75</formula>
    </cfRule>
    <cfRule type="cellIs" dxfId="3067" priority="508" operator="greaterThan">
      <formula>1</formula>
    </cfRule>
    <cfRule type="cellIs" dxfId="3066" priority="509" operator="between">
      <formula>0.95</formula>
      <formula>1</formula>
    </cfRule>
    <cfRule type="cellIs" dxfId="3065" priority="510" stopIfTrue="1" operator="between">
      <formula>0</formula>
      <formula>0.5</formula>
    </cfRule>
  </conditionalFormatting>
  <conditionalFormatting sqref="AE227">
    <cfRule type="cellIs" dxfId="3064" priority="381" operator="between">
      <formula>0.76</formula>
      <formula>0.95</formula>
    </cfRule>
    <cfRule type="cellIs" dxfId="3063" priority="382" operator="between">
      <formula>0.51</formula>
      <formula>0.75</formula>
    </cfRule>
    <cfRule type="cellIs" dxfId="3062" priority="383" operator="greaterThan">
      <formula>1</formula>
    </cfRule>
    <cfRule type="cellIs" dxfId="3061" priority="384" operator="between">
      <formula>0.95</formula>
      <formula>1</formula>
    </cfRule>
    <cfRule type="cellIs" dxfId="3060" priority="385" stopIfTrue="1" operator="between">
      <formula>0</formula>
      <formula>0.5</formula>
    </cfRule>
  </conditionalFormatting>
  <conditionalFormatting sqref="AF178">
    <cfRule type="cellIs" dxfId="3059" priority="491" operator="between">
      <formula>0.76</formula>
      <formula>0.95</formula>
    </cfRule>
    <cfRule type="cellIs" dxfId="3058" priority="492" operator="between">
      <formula>0.51</formula>
      <formula>0.75</formula>
    </cfRule>
    <cfRule type="cellIs" dxfId="3057" priority="493" operator="greaterThan">
      <formula>1</formula>
    </cfRule>
    <cfRule type="cellIs" dxfId="3056" priority="494" operator="between">
      <formula>0.95</formula>
      <formula>1</formula>
    </cfRule>
    <cfRule type="cellIs" dxfId="3055" priority="495" stopIfTrue="1" operator="between">
      <formula>0</formula>
      <formula>0.5</formula>
    </cfRule>
  </conditionalFormatting>
  <conditionalFormatting sqref="AG178">
    <cfRule type="cellIs" dxfId="3054" priority="486" operator="between">
      <formula>0.76</formula>
      <formula>0.95</formula>
    </cfRule>
    <cfRule type="cellIs" dxfId="3053" priority="487" operator="between">
      <formula>0.51</formula>
      <formula>0.75</formula>
    </cfRule>
    <cfRule type="cellIs" dxfId="3052" priority="488" operator="greaterThan">
      <formula>1</formula>
    </cfRule>
    <cfRule type="cellIs" dxfId="3051" priority="489" operator="between">
      <formula>0.95</formula>
      <formula>1</formula>
    </cfRule>
    <cfRule type="cellIs" dxfId="3050" priority="490" stopIfTrue="1" operator="between">
      <formula>0</formula>
      <formula>0.5</formula>
    </cfRule>
  </conditionalFormatting>
  <conditionalFormatting sqref="AE203">
    <cfRule type="cellIs" dxfId="3049" priority="481" operator="between">
      <formula>0.76</formula>
      <formula>0.95</formula>
    </cfRule>
    <cfRule type="cellIs" dxfId="3048" priority="482" operator="between">
      <formula>0.51</formula>
      <formula>0.75</formula>
    </cfRule>
    <cfRule type="cellIs" dxfId="3047" priority="483" operator="greaterThan">
      <formula>1</formula>
    </cfRule>
    <cfRule type="cellIs" dxfId="3046" priority="484" operator="between">
      <formula>0.95</formula>
      <formula>1</formula>
    </cfRule>
    <cfRule type="cellIs" dxfId="3045" priority="485" stopIfTrue="1" operator="between">
      <formula>0</formula>
      <formula>0.5</formula>
    </cfRule>
  </conditionalFormatting>
  <conditionalFormatting sqref="AG203">
    <cfRule type="cellIs" dxfId="3044" priority="476" operator="between">
      <formula>0.76</formula>
      <formula>0.95</formula>
    </cfRule>
    <cfRule type="cellIs" dxfId="3043" priority="477" operator="between">
      <formula>0.51</formula>
      <formula>0.75</formula>
    </cfRule>
    <cfRule type="cellIs" dxfId="3042" priority="478" operator="greaterThan">
      <formula>1</formula>
    </cfRule>
    <cfRule type="cellIs" dxfId="3041" priority="479" operator="between">
      <formula>0.95</formula>
      <formula>1</formula>
    </cfRule>
    <cfRule type="cellIs" dxfId="3040" priority="480" stopIfTrue="1" operator="between">
      <formula>0</formula>
      <formula>0.5</formula>
    </cfRule>
  </conditionalFormatting>
  <conditionalFormatting sqref="AE206">
    <cfRule type="cellIs" dxfId="3039" priority="471" operator="between">
      <formula>0.76</formula>
      <formula>0.95</formula>
    </cfRule>
    <cfRule type="cellIs" dxfId="3038" priority="472" operator="between">
      <formula>0.51</formula>
      <formula>0.75</formula>
    </cfRule>
    <cfRule type="cellIs" dxfId="3037" priority="473" operator="greaterThan">
      <formula>1</formula>
    </cfRule>
    <cfRule type="cellIs" dxfId="3036" priority="474" operator="between">
      <formula>0.95</formula>
      <formula>1</formula>
    </cfRule>
    <cfRule type="cellIs" dxfId="3035" priority="475" stopIfTrue="1" operator="between">
      <formula>0</formula>
      <formula>0.5</formula>
    </cfRule>
  </conditionalFormatting>
  <conditionalFormatting sqref="AG206">
    <cfRule type="cellIs" dxfId="3034" priority="466" operator="between">
      <formula>0.76</formula>
      <formula>0.95</formula>
    </cfRule>
    <cfRule type="cellIs" dxfId="3033" priority="467" operator="between">
      <formula>0.51</formula>
      <formula>0.75</formula>
    </cfRule>
    <cfRule type="cellIs" dxfId="3032" priority="468" operator="greaterThan">
      <formula>1</formula>
    </cfRule>
    <cfRule type="cellIs" dxfId="3031" priority="469" operator="between">
      <formula>0.95</formula>
      <formula>1</formula>
    </cfRule>
    <cfRule type="cellIs" dxfId="3030" priority="470" stopIfTrue="1" operator="between">
      <formula>0</formula>
      <formula>0.5</formula>
    </cfRule>
  </conditionalFormatting>
  <conditionalFormatting sqref="AE210">
    <cfRule type="cellIs" dxfId="3029" priority="461" operator="between">
      <formula>0.76</formula>
      <formula>0.95</formula>
    </cfRule>
    <cfRule type="cellIs" dxfId="3028" priority="462" operator="between">
      <formula>0.51</formula>
      <formula>0.75</formula>
    </cfRule>
    <cfRule type="cellIs" dxfId="3027" priority="463" operator="greaterThan">
      <formula>1</formula>
    </cfRule>
    <cfRule type="cellIs" dxfId="3026" priority="464" operator="between">
      <formula>0.95</formula>
      <formula>1</formula>
    </cfRule>
    <cfRule type="cellIs" dxfId="3025" priority="465" stopIfTrue="1" operator="between">
      <formula>0</formula>
      <formula>0.5</formula>
    </cfRule>
  </conditionalFormatting>
  <conditionalFormatting sqref="AG210">
    <cfRule type="cellIs" dxfId="3024" priority="456" operator="between">
      <formula>0.76</formula>
      <formula>0.95</formula>
    </cfRule>
    <cfRule type="cellIs" dxfId="3023" priority="457" operator="between">
      <formula>0.51</formula>
      <formula>0.75</formula>
    </cfRule>
    <cfRule type="cellIs" dxfId="3022" priority="458" operator="greaterThan">
      <formula>1</formula>
    </cfRule>
    <cfRule type="cellIs" dxfId="3021" priority="459" operator="between">
      <formula>0.95</formula>
      <formula>1</formula>
    </cfRule>
    <cfRule type="cellIs" dxfId="3020" priority="460" stopIfTrue="1" operator="between">
      <formula>0</formula>
      <formula>0.5</formula>
    </cfRule>
  </conditionalFormatting>
  <conditionalFormatting sqref="AE218">
    <cfRule type="cellIs" dxfId="3019" priority="451" operator="between">
      <formula>0.76</formula>
      <formula>0.95</formula>
    </cfRule>
    <cfRule type="cellIs" dxfId="3018" priority="452" operator="between">
      <formula>0.51</formula>
      <formula>0.75</formula>
    </cfRule>
    <cfRule type="cellIs" dxfId="3017" priority="453" operator="greaterThan">
      <formula>1</formula>
    </cfRule>
    <cfRule type="cellIs" dxfId="3016" priority="454" operator="between">
      <formula>0.95</formula>
      <formula>1</formula>
    </cfRule>
    <cfRule type="cellIs" dxfId="3015" priority="455" stopIfTrue="1" operator="between">
      <formula>0</formula>
      <formula>0.5</formula>
    </cfRule>
  </conditionalFormatting>
  <conditionalFormatting sqref="AG218:AG219">
    <cfRule type="cellIs" dxfId="3014" priority="446" operator="between">
      <formula>0.76</formula>
      <formula>0.95</formula>
    </cfRule>
    <cfRule type="cellIs" dxfId="3013" priority="447" operator="between">
      <formula>0.51</formula>
      <formula>0.75</formula>
    </cfRule>
    <cfRule type="cellIs" dxfId="3012" priority="448" operator="greaterThan">
      <formula>1</formula>
    </cfRule>
    <cfRule type="cellIs" dxfId="3011" priority="449" operator="between">
      <formula>0.95</formula>
      <formula>1</formula>
    </cfRule>
    <cfRule type="cellIs" dxfId="3010" priority="450" stopIfTrue="1" operator="between">
      <formula>0</formula>
      <formula>0.5</formula>
    </cfRule>
  </conditionalFormatting>
  <conditionalFormatting sqref="AD219">
    <cfRule type="cellIs" dxfId="3009" priority="441" operator="between">
      <formula>0.76</formula>
      <formula>0.95</formula>
    </cfRule>
    <cfRule type="cellIs" dxfId="3008" priority="442" operator="between">
      <formula>0.51</formula>
      <formula>0.75</formula>
    </cfRule>
    <cfRule type="cellIs" dxfId="3007" priority="443" operator="greaterThan">
      <formula>1</formula>
    </cfRule>
    <cfRule type="cellIs" dxfId="3006" priority="444" operator="between">
      <formula>0.95</formula>
      <formula>1</formula>
    </cfRule>
    <cfRule type="cellIs" dxfId="3005" priority="445" stopIfTrue="1" operator="between">
      <formula>0</formula>
      <formula>0.5</formula>
    </cfRule>
  </conditionalFormatting>
  <conditionalFormatting sqref="AE219">
    <cfRule type="cellIs" dxfId="3004" priority="436" operator="between">
      <formula>0.76</formula>
      <formula>0.95</formula>
    </cfRule>
    <cfRule type="cellIs" dxfId="3003" priority="437" operator="between">
      <formula>0.51</formula>
      <formula>0.75</formula>
    </cfRule>
    <cfRule type="cellIs" dxfId="3002" priority="438" operator="greaterThan">
      <formula>1</formula>
    </cfRule>
    <cfRule type="cellIs" dxfId="3001" priority="439" operator="between">
      <formula>0.95</formula>
      <formula>1</formula>
    </cfRule>
    <cfRule type="cellIs" dxfId="3000" priority="440" stopIfTrue="1" operator="between">
      <formula>0</formula>
      <formula>0.5</formula>
    </cfRule>
  </conditionalFormatting>
  <conditionalFormatting sqref="AF219">
    <cfRule type="cellIs" dxfId="2999" priority="431" operator="between">
      <formula>0.76</formula>
      <formula>0.95</formula>
    </cfRule>
    <cfRule type="cellIs" dxfId="2998" priority="432" operator="between">
      <formula>0.51</formula>
      <formula>0.75</formula>
    </cfRule>
    <cfRule type="cellIs" dxfId="2997" priority="433" operator="greaterThan">
      <formula>1</formula>
    </cfRule>
    <cfRule type="cellIs" dxfId="2996" priority="434" operator="between">
      <formula>0.95</formula>
      <formula>1</formula>
    </cfRule>
    <cfRule type="cellIs" dxfId="2995" priority="435" stopIfTrue="1" operator="between">
      <formula>0</formula>
      <formula>0.5</formula>
    </cfRule>
  </conditionalFormatting>
  <conditionalFormatting sqref="AG219">
    <cfRule type="cellIs" dxfId="2994" priority="426" operator="between">
      <formula>0.76</formula>
      <formula>0.95</formula>
    </cfRule>
    <cfRule type="cellIs" dxfId="2993" priority="427" operator="between">
      <formula>0.51</formula>
      <formula>0.75</formula>
    </cfRule>
    <cfRule type="cellIs" dxfId="2992" priority="428" operator="greaterThan">
      <formula>1</formula>
    </cfRule>
    <cfRule type="cellIs" dxfId="2991" priority="429" operator="between">
      <formula>0.95</formula>
      <formula>1</formula>
    </cfRule>
    <cfRule type="cellIs" dxfId="2990" priority="430" stopIfTrue="1" operator="between">
      <formula>0</formula>
      <formula>0.5</formula>
    </cfRule>
  </conditionalFormatting>
  <conditionalFormatting sqref="AE223">
    <cfRule type="cellIs" dxfId="2989" priority="421" operator="between">
      <formula>0.76</formula>
      <formula>0.95</formula>
    </cfRule>
    <cfRule type="cellIs" dxfId="2988" priority="422" operator="between">
      <formula>0.51</formula>
      <formula>0.75</formula>
    </cfRule>
    <cfRule type="cellIs" dxfId="2987" priority="423" operator="greaterThan">
      <formula>1</formula>
    </cfRule>
    <cfRule type="cellIs" dxfId="2986" priority="424" operator="between">
      <formula>0.95</formula>
      <formula>1</formula>
    </cfRule>
    <cfRule type="cellIs" dxfId="2985" priority="425" stopIfTrue="1" operator="between">
      <formula>0</formula>
      <formula>0.5</formula>
    </cfRule>
  </conditionalFormatting>
  <conditionalFormatting sqref="AG223">
    <cfRule type="cellIs" dxfId="2984" priority="416" operator="between">
      <formula>0.76</formula>
      <formula>0.95</formula>
    </cfRule>
    <cfRule type="cellIs" dxfId="2983" priority="417" operator="between">
      <formula>0.51</formula>
      <formula>0.75</formula>
    </cfRule>
    <cfRule type="cellIs" dxfId="2982" priority="418" operator="greaterThan">
      <formula>1</formula>
    </cfRule>
    <cfRule type="cellIs" dxfId="2981" priority="419" operator="between">
      <formula>0.95</formula>
      <formula>1</formula>
    </cfRule>
    <cfRule type="cellIs" dxfId="2980" priority="420" stopIfTrue="1" operator="between">
      <formula>0</formula>
      <formula>0.5</formula>
    </cfRule>
  </conditionalFormatting>
  <conditionalFormatting sqref="AE224">
    <cfRule type="cellIs" dxfId="2979" priority="411" operator="between">
      <formula>0.76</formula>
      <formula>0.95</formula>
    </cfRule>
    <cfRule type="cellIs" dxfId="2978" priority="412" operator="between">
      <formula>0.51</formula>
      <formula>0.75</formula>
    </cfRule>
    <cfRule type="cellIs" dxfId="2977" priority="413" operator="greaterThan">
      <formula>1</formula>
    </cfRule>
    <cfRule type="cellIs" dxfId="2976" priority="414" operator="between">
      <formula>0.95</formula>
      <formula>1</formula>
    </cfRule>
    <cfRule type="cellIs" dxfId="2975" priority="415" stopIfTrue="1" operator="between">
      <formula>0</formula>
      <formula>0.5</formula>
    </cfRule>
  </conditionalFormatting>
  <conditionalFormatting sqref="AG224">
    <cfRule type="cellIs" dxfId="2974" priority="406" operator="between">
      <formula>0.76</formula>
      <formula>0.95</formula>
    </cfRule>
    <cfRule type="cellIs" dxfId="2973" priority="407" operator="between">
      <formula>0.51</formula>
      <formula>0.75</formula>
    </cfRule>
    <cfRule type="cellIs" dxfId="2972" priority="408" operator="greaterThan">
      <formula>1</formula>
    </cfRule>
    <cfRule type="cellIs" dxfId="2971" priority="409" operator="between">
      <formula>0.95</formula>
      <formula>1</formula>
    </cfRule>
    <cfRule type="cellIs" dxfId="2970" priority="410" stopIfTrue="1" operator="between">
      <formula>0</formula>
      <formula>0.5</formula>
    </cfRule>
  </conditionalFormatting>
  <conditionalFormatting sqref="AE225">
    <cfRule type="cellIs" dxfId="2969" priority="401" operator="between">
      <formula>0.76</formula>
      <formula>0.95</formula>
    </cfRule>
    <cfRule type="cellIs" dxfId="2968" priority="402" operator="between">
      <formula>0.51</formula>
      <formula>0.75</formula>
    </cfRule>
    <cfRule type="cellIs" dxfId="2967" priority="403" operator="greaterThan">
      <formula>1</formula>
    </cfRule>
    <cfRule type="cellIs" dxfId="2966" priority="404" operator="between">
      <formula>0.95</formula>
      <formula>1</formula>
    </cfRule>
    <cfRule type="cellIs" dxfId="2965" priority="405" stopIfTrue="1" operator="between">
      <formula>0</formula>
      <formula>0.5</formula>
    </cfRule>
  </conditionalFormatting>
  <conditionalFormatting sqref="AG225">
    <cfRule type="cellIs" dxfId="2964" priority="396" operator="between">
      <formula>0.76</formula>
      <formula>0.95</formula>
    </cfRule>
    <cfRule type="cellIs" dxfId="2963" priority="397" operator="between">
      <formula>0.51</formula>
      <formula>0.75</formula>
    </cfRule>
    <cfRule type="cellIs" dxfId="2962" priority="398" operator="greaterThan">
      <formula>1</formula>
    </cfRule>
    <cfRule type="cellIs" dxfId="2961" priority="399" operator="between">
      <formula>0.95</formula>
      <formula>1</formula>
    </cfRule>
    <cfRule type="cellIs" dxfId="2960" priority="400" stopIfTrue="1" operator="between">
      <formula>0</formula>
      <formula>0.5</formula>
    </cfRule>
  </conditionalFormatting>
  <conditionalFormatting sqref="AE226">
    <cfRule type="cellIs" dxfId="2959" priority="391" operator="between">
      <formula>0.76</formula>
      <formula>0.95</formula>
    </cfRule>
    <cfRule type="cellIs" dxfId="2958" priority="392" operator="between">
      <formula>0.51</formula>
      <formula>0.75</formula>
    </cfRule>
    <cfRule type="cellIs" dxfId="2957" priority="393" operator="greaterThan">
      <formula>1</formula>
    </cfRule>
    <cfRule type="cellIs" dxfId="2956" priority="394" operator="between">
      <formula>0.95</formula>
      <formula>1</formula>
    </cfRule>
    <cfRule type="cellIs" dxfId="2955" priority="395" stopIfTrue="1" operator="between">
      <formula>0</formula>
      <formula>0.5</formula>
    </cfRule>
  </conditionalFormatting>
  <conditionalFormatting sqref="AG226">
    <cfRule type="cellIs" dxfId="2954" priority="386" operator="between">
      <formula>0.76</formula>
      <formula>0.95</formula>
    </cfRule>
    <cfRule type="cellIs" dxfId="2953" priority="387" operator="between">
      <formula>0.51</formula>
      <formula>0.75</formula>
    </cfRule>
    <cfRule type="cellIs" dxfId="2952" priority="388" operator="greaterThan">
      <formula>1</formula>
    </cfRule>
    <cfRule type="cellIs" dxfId="2951" priority="389" operator="between">
      <formula>0.95</formula>
      <formula>1</formula>
    </cfRule>
    <cfRule type="cellIs" dxfId="2950" priority="390" stopIfTrue="1" operator="between">
      <formula>0</formula>
      <formula>0.5</formula>
    </cfRule>
  </conditionalFormatting>
  <conditionalFormatting sqref="AG227">
    <cfRule type="cellIs" dxfId="2949" priority="376" operator="between">
      <formula>0.3751</formula>
      <formula>0.475</formula>
    </cfRule>
    <cfRule type="cellIs" dxfId="2948" priority="377" operator="between">
      <formula>0.2551</formula>
      <formula>0.375</formula>
    </cfRule>
    <cfRule type="cellIs" dxfId="2947" priority="378" operator="greaterThan">
      <formula>0.505</formula>
    </cfRule>
    <cfRule type="cellIs" dxfId="2946" priority="379" operator="between">
      <formula>0.48</formula>
      <formula>0.51</formula>
    </cfRule>
    <cfRule type="cellIs" dxfId="2945" priority="380" stopIfTrue="1" operator="between">
      <formula>0</formula>
      <formula>0.255</formula>
    </cfRule>
  </conditionalFormatting>
  <conditionalFormatting sqref="R107">
    <cfRule type="cellIs" dxfId="2944" priority="366" operator="between">
      <formula>0.3751</formula>
      <formula>0.475</formula>
    </cfRule>
    <cfRule type="cellIs" dxfId="2943" priority="367" operator="between">
      <formula>0.2551</formula>
      <formula>0.375</formula>
    </cfRule>
    <cfRule type="cellIs" dxfId="2942" priority="368" operator="greaterThan">
      <formula>0.505</formula>
    </cfRule>
    <cfRule type="cellIs" dxfId="2941" priority="369" operator="between">
      <formula>0.4751</formula>
      <formula>0.5</formula>
    </cfRule>
    <cfRule type="cellIs" dxfId="2940" priority="370" stopIfTrue="1" operator="between">
      <formula>0</formula>
      <formula>0.255</formula>
    </cfRule>
  </conditionalFormatting>
  <conditionalFormatting sqref="R178">
    <cfRule type="cellIs" dxfId="2939" priority="356" operator="between">
      <formula>0.3751</formula>
      <formula>0.475</formula>
    </cfRule>
    <cfRule type="cellIs" dxfId="2938" priority="357" operator="between">
      <formula>0.2551</formula>
      <formula>0.375</formula>
    </cfRule>
    <cfRule type="cellIs" dxfId="2937" priority="358" operator="greaterThan">
      <formula>0.505</formula>
    </cfRule>
    <cfRule type="cellIs" dxfId="2936" priority="359" operator="between">
      <formula>0.4751</formula>
      <formula>0.5</formula>
    </cfRule>
    <cfRule type="cellIs" dxfId="2935" priority="360" stopIfTrue="1" operator="between">
      <formula>0</formula>
      <formula>0.255</formula>
    </cfRule>
  </conditionalFormatting>
  <conditionalFormatting sqref="R219">
    <cfRule type="cellIs" dxfId="2934" priority="346" operator="between">
      <formula>0.3751</formula>
      <formula>0.475</formula>
    </cfRule>
    <cfRule type="cellIs" dxfId="2933" priority="347" operator="between">
      <formula>0.2551</formula>
      <formula>0.375</formula>
    </cfRule>
    <cfRule type="cellIs" dxfId="2932" priority="348" operator="greaterThan">
      <formula>0.505</formula>
    </cfRule>
    <cfRule type="cellIs" dxfId="2931" priority="349" operator="between">
      <formula>0.4751</formula>
      <formula>0.5</formula>
    </cfRule>
    <cfRule type="cellIs" dxfId="2930" priority="350" stopIfTrue="1" operator="between">
      <formula>0</formula>
      <formula>0.255</formula>
    </cfRule>
  </conditionalFormatting>
  <conditionalFormatting sqref="T37">
    <cfRule type="cellIs" dxfId="2929" priority="341" operator="between">
      <formula>0.3751</formula>
      <formula>0.475</formula>
    </cfRule>
    <cfRule type="cellIs" dxfId="2928" priority="342" operator="between">
      <formula>0.2551</formula>
      <formula>0.375</formula>
    </cfRule>
    <cfRule type="cellIs" dxfId="2927" priority="343" operator="greaterThan">
      <formula>0.505</formula>
    </cfRule>
    <cfRule type="cellIs" dxfId="2926" priority="344" operator="between">
      <formula>0.4751</formula>
      <formula>0.5</formula>
    </cfRule>
    <cfRule type="cellIs" dxfId="2925" priority="345" stopIfTrue="1" operator="between">
      <formula>0</formula>
      <formula>0.255</formula>
    </cfRule>
  </conditionalFormatting>
  <conditionalFormatting sqref="T65">
    <cfRule type="cellIs" dxfId="2924" priority="336" operator="between">
      <formula>0.3751</formula>
      <formula>0.475</formula>
    </cfRule>
    <cfRule type="cellIs" dxfId="2923" priority="337" operator="between">
      <formula>0.2551</formula>
      <formula>0.375</formula>
    </cfRule>
    <cfRule type="cellIs" dxfId="2922" priority="338" operator="greaterThan">
      <formula>0.505</formula>
    </cfRule>
    <cfRule type="cellIs" dxfId="2921" priority="339" operator="between">
      <formula>0.4751</formula>
      <formula>0.5</formula>
    </cfRule>
    <cfRule type="cellIs" dxfId="2920" priority="340" stopIfTrue="1" operator="between">
      <formula>0</formula>
      <formula>0.255</formula>
    </cfRule>
  </conditionalFormatting>
  <conditionalFormatting sqref="T77">
    <cfRule type="cellIs" dxfId="2919" priority="331" operator="between">
      <formula>0.3751</formula>
      <formula>0.475</formula>
    </cfRule>
    <cfRule type="cellIs" dxfId="2918" priority="332" operator="between">
      <formula>0.2551</formula>
      <formula>0.375</formula>
    </cfRule>
    <cfRule type="cellIs" dxfId="2917" priority="333" operator="greaterThan">
      <formula>0.505</formula>
    </cfRule>
    <cfRule type="cellIs" dxfId="2916" priority="334" operator="between">
      <formula>0.4751</formula>
      <formula>0.5</formula>
    </cfRule>
    <cfRule type="cellIs" dxfId="2915" priority="335" stopIfTrue="1" operator="between">
      <formula>0</formula>
      <formula>0.255</formula>
    </cfRule>
  </conditionalFormatting>
  <conditionalFormatting sqref="T98">
    <cfRule type="cellIs" dxfId="2914" priority="326" operator="between">
      <formula>0.3751</formula>
      <formula>0.475</formula>
    </cfRule>
    <cfRule type="cellIs" dxfId="2913" priority="327" operator="between">
      <formula>0.2551</formula>
      <formula>0.375</formula>
    </cfRule>
    <cfRule type="cellIs" dxfId="2912" priority="328" operator="greaterThan">
      <formula>0.505</formula>
    </cfRule>
    <cfRule type="cellIs" dxfId="2911" priority="329" operator="between">
      <formula>0.4751</formula>
      <formula>0.5</formula>
    </cfRule>
    <cfRule type="cellIs" dxfId="2910" priority="330" stopIfTrue="1" operator="between">
      <formula>0</formula>
      <formula>0.255</formula>
    </cfRule>
  </conditionalFormatting>
  <conditionalFormatting sqref="T106">
    <cfRule type="cellIs" dxfId="2909" priority="321" operator="between">
      <formula>0.3751</formula>
      <formula>0.475</formula>
    </cfRule>
    <cfRule type="cellIs" dxfId="2908" priority="322" operator="between">
      <formula>0.2551</formula>
      <formula>0.375</formula>
    </cfRule>
    <cfRule type="cellIs" dxfId="2907" priority="323" operator="greaterThan">
      <formula>0.505</formula>
    </cfRule>
    <cfRule type="cellIs" dxfId="2906" priority="324" operator="between">
      <formula>0.4751</formula>
      <formula>0.5</formula>
    </cfRule>
    <cfRule type="cellIs" dxfId="2905" priority="325" stopIfTrue="1" operator="between">
      <formula>0</formula>
      <formula>0.255</formula>
    </cfRule>
  </conditionalFormatting>
  <conditionalFormatting sqref="T107">
    <cfRule type="cellIs" dxfId="2904" priority="316" operator="between">
      <formula>0.3751</formula>
      <formula>0.475</formula>
    </cfRule>
    <cfRule type="cellIs" dxfId="2903" priority="317" operator="between">
      <formula>0.2551</formula>
      <formula>0.375</formula>
    </cfRule>
    <cfRule type="cellIs" dxfId="2902" priority="318" operator="greaterThan">
      <formula>0.505</formula>
    </cfRule>
    <cfRule type="cellIs" dxfId="2901" priority="319" operator="between">
      <formula>0.4751</formula>
      <formula>0.5</formula>
    </cfRule>
    <cfRule type="cellIs" dxfId="2900" priority="320" stopIfTrue="1" operator="between">
      <formula>0</formula>
      <formula>0.255</formula>
    </cfRule>
  </conditionalFormatting>
  <conditionalFormatting sqref="T123">
    <cfRule type="cellIs" dxfId="2899" priority="311" operator="between">
      <formula>0.3751</formula>
      <formula>0.475</formula>
    </cfRule>
    <cfRule type="cellIs" dxfId="2898" priority="312" operator="between">
      <formula>0.2551</formula>
      <formula>0.375</formula>
    </cfRule>
    <cfRule type="cellIs" dxfId="2897" priority="313" operator="greaterThan">
      <formula>0.505</formula>
    </cfRule>
    <cfRule type="cellIs" dxfId="2896" priority="314" operator="between">
      <formula>0.4751</formula>
      <formula>0.5</formula>
    </cfRule>
    <cfRule type="cellIs" dxfId="2895" priority="315" stopIfTrue="1" operator="between">
      <formula>0</formula>
      <formula>0.255</formula>
    </cfRule>
  </conditionalFormatting>
  <conditionalFormatting sqref="T146">
    <cfRule type="cellIs" dxfId="2894" priority="306" operator="between">
      <formula>0.3751</formula>
      <formula>0.475</formula>
    </cfRule>
    <cfRule type="cellIs" dxfId="2893" priority="307" operator="between">
      <formula>0.2551</formula>
      <formula>0.375</formula>
    </cfRule>
    <cfRule type="cellIs" dxfId="2892" priority="308" operator="greaterThan">
      <formula>0.505</formula>
    </cfRule>
    <cfRule type="cellIs" dxfId="2891" priority="309" operator="between">
      <formula>0.4751</formula>
      <formula>0.5</formula>
    </cfRule>
    <cfRule type="cellIs" dxfId="2890" priority="310" stopIfTrue="1" operator="between">
      <formula>0</formula>
      <formula>0.255</formula>
    </cfRule>
  </conditionalFormatting>
  <conditionalFormatting sqref="T155">
    <cfRule type="cellIs" dxfId="2889" priority="301" operator="between">
      <formula>0.3751</formula>
      <formula>0.475</formula>
    </cfRule>
    <cfRule type="cellIs" dxfId="2888" priority="302" operator="between">
      <formula>0.2551</formula>
      <formula>0.375</formula>
    </cfRule>
    <cfRule type="cellIs" dxfId="2887" priority="303" operator="greaterThan">
      <formula>0.505</formula>
    </cfRule>
    <cfRule type="cellIs" dxfId="2886" priority="304" operator="between">
      <formula>0.4751</formula>
      <formula>0.5</formula>
    </cfRule>
    <cfRule type="cellIs" dxfId="2885" priority="305" stopIfTrue="1" operator="between">
      <formula>0</formula>
      <formula>0.255</formula>
    </cfRule>
  </conditionalFormatting>
  <conditionalFormatting sqref="T167">
    <cfRule type="cellIs" dxfId="2884" priority="296" operator="between">
      <formula>0.3751</formula>
      <formula>0.475</formula>
    </cfRule>
    <cfRule type="cellIs" dxfId="2883" priority="297" operator="between">
      <formula>0.2551</formula>
      <formula>0.375</formula>
    </cfRule>
    <cfRule type="cellIs" dxfId="2882" priority="298" operator="greaterThan">
      <formula>0.505</formula>
    </cfRule>
    <cfRule type="cellIs" dxfId="2881" priority="299" operator="between">
      <formula>0.4751</formula>
      <formula>0.5</formula>
    </cfRule>
    <cfRule type="cellIs" dxfId="2880" priority="300" stopIfTrue="1" operator="between">
      <formula>0</formula>
      <formula>0.255</formula>
    </cfRule>
  </conditionalFormatting>
  <conditionalFormatting sqref="T177">
    <cfRule type="cellIs" dxfId="2879" priority="291" operator="between">
      <formula>0.3751</formula>
      <formula>0.475</formula>
    </cfRule>
    <cfRule type="cellIs" dxfId="2878" priority="292" operator="between">
      <formula>0.2551</formula>
      <formula>0.375</formula>
    </cfRule>
    <cfRule type="cellIs" dxfId="2877" priority="293" operator="greaterThan">
      <formula>0.505</formula>
    </cfRule>
    <cfRule type="cellIs" dxfId="2876" priority="294" operator="between">
      <formula>0.4751</formula>
      <formula>0.5</formula>
    </cfRule>
    <cfRule type="cellIs" dxfId="2875" priority="295" stopIfTrue="1" operator="between">
      <formula>0</formula>
      <formula>0.255</formula>
    </cfRule>
  </conditionalFormatting>
  <conditionalFormatting sqref="T178">
    <cfRule type="cellIs" dxfId="2874" priority="286" operator="between">
      <formula>0.3751</formula>
      <formula>0.475</formula>
    </cfRule>
    <cfRule type="cellIs" dxfId="2873" priority="287" operator="between">
      <formula>0.2551</formula>
      <formula>0.375</formula>
    </cfRule>
    <cfRule type="cellIs" dxfId="2872" priority="288" operator="greaterThan">
      <formula>0.505</formula>
    </cfRule>
    <cfRule type="cellIs" dxfId="2871" priority="289" operator="between">
      <formula>0.4751</formula>
      <formula>0.5</formula>
    </cfRule>
    <cfRule type="cellIs" dxfId="2870" priority="290" stopIfTrue="1" operator="between">
      <formula>0</formula>
      <formula>0.255</formula>
    </cfRule>
  </conditionalFormatting>
  <conditionalFormatting sqref="T203">
    <cfRule type="cellIs" dxfId="2869" priority="281" operator="between">
      <formula>0.3751</formula>
      <formula>0.475</formula>
    </cfRule>
    <cfRule type="cellIs" dxfId="2868" priority="282" operator="between">
      <formula>0.2551</formula>
      <formula>0.375</formula>
    </cfRule>
    <cfRule type="cellIs" dxfId="2867" priority="283" operator="greaterThan">
      <formula>0.505</formula>
    </cfRule>
    <cfRule type="cellIs" dxfId="2866" priority="284" operator="between">
      <formula>0.4751</formula>
      <formula>0.5</formula>
    </cfRule>
    <cfRule type="cellIs" dxfId="2865" priority="285" stopIfTrue="1" operator="between">
      <formula>0</formula>
      <formula>0.255</formula>
    </cfRule>
  </conditionalFormatting>
  <conditionalFormatting sqref="T206">
    <cfRule type="cellIs" dxfId="2864" priority="276" operator="between">
      <formula>0.3751</formula>
      <formula>0.475</formula>
    </cfRule>
    <cfRule type="cellIs" dxfId="2863" priority="277" operator="between">
      <formula>0.2551</formula>
      <formula>0.375</formula>
    </cfRule>
    <cfRule type="cellIs" dxfId="2862" priority="278" operator="greaterThan">
      <formula>0.505</formula>
    </cfRule>
    <cfRule type="cellIs" dxfId="2861" priority="279" operator="between">
      <formula>0.4751</formula>
      <formula>0.5</formula>
    </cfRule>
    <cfRule type="cellIs" dxfId="2860" priority="280" stopIfTrue="1" operator="between">
      <formula>0</formula>
      <formula>0.255</formula>
    </cfRule>
  </conditionalFormatting>
  <conditionalFormatting sqref="T210">
    <cfRule type="cellIs" dxfId="2859" priority="271" operator="between">
      <formula>0.3751</formula>
      <formula>0.475</formula>
    </cfRule>
    <cfRule type="cellIs" dxfId="2858" priority="272" operator="between">
      <formula>0.2551</formula>
      <formula>0.375</formula>
    </cfRule>
    <cfRule type="cellIs" dxfId="2857" priority="273" operator="greaterThan">
      <formula>0.505</formula>
    </cfRule>
    <cfRule type="cellIs" dxfId="2856" priority="274" operator="between">
      <formula>0.4751</formula>
      <formula>0.5</formula>
    </cfRule>
    <cfRule type="cellIs" dxfId="2855" priority="275" stopIfTrue="1" operator="between">
      <formula>0</formula>
      <formula>0.255</formula>
    </cfRule>
  </conditionalFormatting>
  <conditionalFormatting sqref="T218">
    <cfRule type="cellIs" dxfId="2854" priority="266" operator="between">
      <formula>0.3751</formula>
      <formula>0.475</formula>
    </cfRule>
    <cfRule type="cellIs" dxfId="2853" priority="267" operator="between">
      <formula>0.2551</formula>
      <formula>0.375</formula>
    </cfRule>
    <cfRule type="cellIs" dxfId="2852" priority="268" operator="greaterThan">
      <formula>0.505</formula>
    </cfRule>
    <cfRule type="cellIs" dxfId="2851" priority="269" operator="between">
      <formula>0.4751</formula>
      <formula>0.5</formula>
    </cfRule>
    <cfRule type="cellIs" dxfId="2850" priority="270" stopIfTrue="1" operator="between">
      <formula>0</formula>
      <formula>0.255</formula>
    </cfRule>
  </conditionalFormatting>
  <conditionalFormatting sqref="T219">
    <cfRule type="cellIs" dxfId="2849" priority="261" operator="between">
      <formula>0.3751</formula>
      <formula>0.475</formula>
    </cfRule>
    <cfRule type="cellIs" dxfId="2848" priority="262" operator="between">
      <formula>0.2551</formula>
      <formula>0.375</formula>
    </cfRule>
    <cfRule type="cellIs" dxfId="2847" priority="263" operator="greaterThan">
      <formula>0.505</formula>
    </cfRule>
    <cfRule type="cellIs" dxfId="2846" priority="264" operator="between">
      <formula>0.4751</formula>
      <formula>0.5</formula>
    </cfRule>
    <cfRule type="cellIs" dxfId="2845" priority="265" stopIfTrue="1" operator="between">
      <formula>0</formula>
      <formula>0.255</formula>
    </cfRule>
  </conditionalFormatting>
  <conditionalFormatting sqref="T223">
    <cfRule type="cellIs" dxfId="2844" priority="256" operator="between">
      <formula>0.3751</formula>
      <formula>0.475</formula>
    </cfRule>
    <cfRule type="cellIs" dxfId="2843" priority="257" operator="between">
      <formula>0.2551</formula>
      <formula>0.375</formula>
    </cfRule>
    <cfRule type="cellIs" dxfId="2842" priority="258" operator="greaterThan">
      <formula>0.505</formula>
    </cfRule>
    <cfRule type="cellIs" dxfId="2841" priority="259" operator="between">
      <formula>0.4751</formula>
      <formula>0.5</formula>
    </cfRule>
    <cfRule type="cellIs" dxfId="2840" priority="260" stopIfTrue="1" operator="between">
      <formula>0</formula>
      <formula>0.255</formula>
    </cfRule>
  </conditionalFormatting>
  <conditionalFormatting sqref="T225">
    <cfRule type="cellIs" dxfId="2839" priority="251" operator="between">
      <formula>0.38</formula>
      <formula>0.475</formula>
    </cfRule>
    <cfRule type="cellIs" dxfId="2838" priority="252" operator="between">
      <formula>0.2551</formula>
      <formula>0.375</formula>
    </cfRule>
    <cfRule type="cellIs" dxfId="2837" priority="253" operator="greaterThan">
      <formula>0.505</formula>
    </cfRule>
    <cfRule type="cellIs" dxfId="2836" priority="254" operator="between">
      <formula>0.48</formula>
      <formula>0.51</formula>
    </cfRule>
    <cfRule type="cellIs" dxfId="2835" priority="255" stopIfTrue="1" operator="between">
      <formula>0</formula>
      <formula>0.255</formula>
    </cfRule>
  </conditionalFormatting>
  <conditionalFormatting sqref="T226">
    <cfRule type="cellIs" dxfId="2834" priority="246" operator="between">
      <formula>0.3751</formula>
      <formula>0.475</formula>
    </cfRule>
    <cfRule type="cellIs" dxfId="2833" priority="247" operator="between">
      <formula>0.2551</formula>
      <formula>0.375</formula>
    </cfRule>
    <cfRule type="cellIs" dxfId="2832" priority="248" operator="greaterThan">
      <formula>0.505</formula>
    </cfRule>
    <cfRule type="cellIs" dxfId="2831" priority="249" operator="between">
      <formula>0.48</formula>
      <formula>0.51</formula>
    </cfRule>
    <cfRule type="cellIs" dxfId="2830" priority="250" stopIfTrue="1" operator="between">
      <formula>0</formula>
      <formula>0.255</formula>
    </cfRule>
  </conditionalFormatting>
  <conditionalFormatting sqref="T227">
    <cfRule type="cellIs" dxfId="2829" priority="241" operator="between">
      <formula>0.3751</formula>
      <formula>0.475</formula>
    </cfRule>
    <cfRule type="cellIs" dxfId="2828" priority="242" operator="between">
      <formula>0.2551</formula>
      <formula>0.375</formula>
    </cfRule>
    <cfRule type="cellIs" dxfId="2827" priority="243" operator="greaterThan">
      <formula>0.505</formula>
    </cfRule>
    <cfRule type="cellIs" dxfId="2826" priority="244" operator="between">
      <formula>0.48</formula>
      <formula>0.51</formula>
    </cfRule>
    <cfRule type="cellIs" dxfId="2825" priority="245" stopIfTrue="1" operator="between">
      <formula>0</formula>
      <formula>0.255</formula>
    </cfRule>
  </conditionalFormatting>
  <conditionalFormatting sqref="AA37">
    <cfRule type="cellIs" dxfId="2824" priority="236" operator="between">
      <formula>0.76</formula>
      <formula>0.95</formula>
    </cfRule>
    <cfRule type="cellIs" dxfId="2823" priority="237" operator="between">
      <formula>0.51</formula>
      <formula>0.75</formula>
    </cfRule>
    <cfRule type="cellIs" dxfId="2822" priority="238" operator="greaterThan">
      <formula>1</formula>
    </cfRule>
    <cfRule type="cellIs" dxfId="2821" priority="239" operator="between">
      <formula>0.95</formula>
      <formula>1</formula>
    </cfRule>
    <cfRule type="cellIs" dxfId="2820" priority="240" stopIfTrue="1" operator="between">
      <formula>0</formula>
      <formula>0.5</formula>
    </cfRule>
  </conditionalFormatting>
  <conditionalFormatting sqref="AA65">
    <cfRule type="cellIs" dxfId="2819" priority="231" operator="between">
      <formula>0.76</formula>
      <formula>0.95</formula>
    </cfRule>
    <cfRule type="cellIs" dxfId="2818" priority="232" operator="between">
      <formula>0.51</formula>
      <formula>0.75</formula>
    </cfRule>
    <cfRule type="cellIs" dxfId="2817" priority="233" operator="greaterThan">
      <formula>1</formula>
    </cfRule>
    <cfRule type="cellIs" dxfId="2816" priority="234" operator="between">
      <formula>0.95</formula>
      <formula>1</formula>
    </cfRule>
    <cfRule type="cellIs" dxfId="2815" priority="235" stopIfTrue="1" operator="between">
      <formula>0</formula>
      <formula>0.5</formula>
    </cfRule>
  </conditionalFormatting>
  <conditionalFormatting sqref="AA77">
    <cfRule type="cellIs" dxfId="2814" priority="226" operator="between">
      <formula>0.76</formula>
      <formula>0.95</formula>
    </cfRule>
    <cfRule type="cellIs" dxfId="2813" priority="227" operator="between">
      <formula>0.51</formula>
      <formula>0.75</formula>
    </cfRule>
    <cfRule type="cellIs" dxfId="2812" priority="228" operator="greaterThan">
      <formula>1</formula>
    </cfRule>
    <cfRule type="cellIs" dxfId="2811" priority="229" operator="between">
      <formula>0.95</formula>
      <formula>1</formula>
    </cfRule>
    <cfRule type="cellIs" dxfId="2810" priority="230" stopIfTrue="1" operator="between">
      <formula>0</formula>
      <formula>0.5</formula>
    </cfRule>
  </conditionalFormatting>
  <conditionalFormatting sqref="AA98">
    <cfRule type="cellIs" dxfId="2809" priority="221" operator="between">
      <formula>0.76</formula>
      <formula>0.95</formula>
    </cfRule>
    <cfRule type="cellIs" dxfId="2808" priority="222" operator="between">
      <formula>0.51</formula>
      <formula>0.75</formula>
    </cfRule>
    <cfRule type="cellIs" dxfId="2807" priority="223" operator="greaterThan">
      <formula>1</formula>
    </cfRule>
    <cfRule type="cellIs" dxfId="2806" priority="224" operator="between">
      <formula>0.95</formula>
      <formula>1</formula>
    </cfRule>
    <cfRule type="cellIs" dxfId="2805" priority="225" stopIfTrue="1" operator="between">
      <formula>0</formula>
      <formula>0.5</formula>
    </cfRule>
  </conditionalFormatting>
  <conditionalFormatting sqref="AA106">
    <cfRule type="cellIs" dxfId="2804" priority="216" operator="between">
      <formula>0.76</formula>
      <formula>0.95</formula>
    </cfRule>
    <cfRule type="cellIs" dxfId="2803" priority="217" operator="between">
      <formula>0.51</formula>
      <formula>0.75</formula>
    </cfRule>
    <cfRule type="cellIs" dxfId="2802" priority="218" operator="greaterThan">
      <formula>1</formula>
    </cfRule>
    <cfRule type="cellIs" dxfId="2801" priority="219" operator="between">
      <formula>0.95</formula>
      <formula>1</formula>
    </cfRule>
    <cfRule type="cellIs" dxfId="2800" priority="220" stopIfTrue="1" operator="between">
      <formula>0</formula>
      <formula>0.5</formula>
    </cfRule>
  </conditionalFormatting>
  <conditionalFormatting sqref="AA107">
    <cfRule type="cellIs" dxfId="2799" priority="211" operator="between">
      <formula>0.76</formula>
      <formula>0.95</formula>
    </cfRule>
    <cfRule type="cellIs" dxfId="2798" priority="212" operator="between">
      <formula>0.51</formula>
      <formula>0.75</formula>
    </cfRule>
    <cfRule type="cellIs" dxfId="2797" priority="213" operator="greaterThan">
      <formula>1</formula>
    </cfRule>
    <cfRule type="cellIs" dxfId="2796" priority="214" operator="between">
      <formula>0.95</formula>
      <formula>1</formula>
    </cfRule>
    <cfRule type="cellIs" dxfId="2795" priority="215" stopIfTrue="1" operator="between">
      <formula>0</formula>
      <formula>0.5</formula>
    </cfRule>
  </conditionalFormatting>
  <conditionalFormatting sqref="AA123">
    <cfRule type="cellIs" dxfId="2794" priority="206" operator="between">
      <formula>0.76</formula>
      <formula>0.95</formula>
    </cfRule>
    <cfRule type="cellIs" dxfId="2793" priority="207" operator="between">
      <formula>0.51</formula>
      <formula>0.75</formula>
    </cfRule>
    <cfRule type="cellIs" dxfId="2792" priority="208" operator="greaterThan">
      <formula>1</formula>
    </cfRule>
    <cfRule type="cellIs" dxfId="2791" priority="209" operator="between">
      <formula>0.95</formula>
      <formula>1</formula>
    </cfRule>
    <cfRule type="cellIs" dxfId="2790" priority="210" stopIfTrue="1" operator="between">
      <formula>0</formula>
      <formula>0.5</formula>
    </cfRule>
  </conditionalFormatting>
  <conditionalFormatting sqref="AA146">
    <cfRule type="cellIs" dxfId="2789" priority="201" operator="between">
      <formula>0.76</formula>
      <formula>0.95</formula>
    </cfRule>
    <cfRule type="cellIs" dxfId="2788" priority="202" operator="between">
      <formula>0.51</formula>
      <formula>0.75</formula>
    </cfRule>
    <cfRule type="cellIs" dxfId="2787" priority="203" operator="greaterThan">
      <formula>1</formula>
    </cfRule>
    <cfRule type="cellIs" dxfId="2786" priority="204" operator="between">
      <formula>0.95</formula>
      <formula>1</formula>
    </cfRule>
    <cfRule type="cellIs" dxfId="2785" priority="205" stopIfTrue="1" operator="between">
      <formula>0</formula>
      <formula>0.5</formula>
    </cfRule>
  </conditionalFormatting>
  <conditionalFormatting sqref="AA155">
    <cfRule type="cellIs" dxfId="2784" priority="196" operator="between">
      <formula>0.76</formula>
      <formula>0.95</formula>
    </cfRule>
    <cfRule type="cellIs" dxfId="2783" priority="197" operator="between">
      <formula>0.51</formula>
      <formula>0.75</formula>
    </cfRule>
    <cfRule type="cellIs" dxfId="2782" priority="198" operator="greaterThan">
      <formula>1</formula>
    </cfRule>
    <cfRule type="cellIs" dxfId="2781" priority="199" operator="between">
      <formula>0.95</formula>
      <formula>1</formula>
    </cfRule>
    <cfRule type="cellIs" dxfId="2780" priority="200" stopIfTrue="1" operator="between">
      <formula>0</formula>
      <formula>0.5</formula>
    </cfRule>
  </conditionalFormatting>
  <conditionalFormatting sqref="AA167">
    <cfRule type="cellIs" dxfId="2779" priority="191" operator="between">
      <formula>0.76</formula>
      <formula>0.95</formula>
    </cfRule>
    <cfRule type="cellIs" dxfId="2778" priority="192" operator="between">
      <formula>0.51</formula>
      <formula>0.75</formula>
    </cfRule>
    <cfRule type="cellIs" dxfId="2777" priority="193" operator="greaterThan">
      <formula>1</formula>
    </cfRule>
    <cfRule type="cellIs" dxfId="2776" priority="194" operator="between">
      <formula>0.95</formula>
      <formula>1</formula>
    </cfRule>
    <cfRule type="cellIs" dxfId="2775" priority="195" stopIfTrue="1" operator="between">
      <formula>0</formula>
      <formula>0.5</formula>
    </cfRule>
  </conditionalFormatting>
  <conditionalFormatting sqref="AA177">
    <cfRule type="cellIs" dxfId="2774" priority="186" operator="between">
      <formula>0.76</formula>
      <formula>0.95</formula>
    </cfRule>
    <cfRule type="cellIs" dxfId="2773" priority="187" operator="between">
      <formula>0.51</formula>
      <formula>0.75</formula>
    </cfRule>
    <cfRule type="cellIs" dxfId="2772" priority="188" operator="greaterThan">
      <formula>1</formula>
    </cfRule>
    <cfRule type="cellIs" dxfId="2771" priority="189" operator="between">
      <formula>0.95</formula>
      <formula>1</formula>
    </cfRule>
    <cfRule type="cellIs" dxfId="2770" priority="190" stopIfTrue="1" operator="between">
      <formula>0</formula>
      <formula>0.5</formula>
    </cfRule>
  </conditionalFormatting>
  <conditionalFormatting sqref="AA178">
    <cfRule type="cellIs" dxfId="2769" priority="181" operator="between">
      <formula>0.76</formula>
      <formula>0.95</formula>
    </cfRule>
    <cfRule type="cellIs" dxfId="2768" priority="182" operator="between">
      <formula>0.51</formula>
      <formula>0.75</formula>
    </cfRule>
    <cfRule type="cellIs" dxfId="2767" priority="183" operator="greaterThan">
      <formula>1</formula>
    </cfRule>
    <cfRule type="cellIs" dxfId="2766" priority="184" operator="between">
      <formula>0.95</formula>
      <formula>1</formula>
    </cfRule>
    <cfRule type="cellIs" dxfId="2765" priority="185" stopIfTrue="1" operator="between">
      <formula>0</formula>
      <formula>0.5</formula>
    </cfRule>
  </conditionalFormatting>
  <conditionalFormatting sqref="AA203">
    <cfRule type="cellIs" dxfId="2764" priority="176" operator="between">
      <formula>0.76</formula>
      <formula>0.95</formula>
    </cfRule>
    <cfRule type="cellIs" dxfId="2763" priority="177" operator="between">
      <formula>0.51</formula>
      <formula>0.75</formula>
    </cfRule>
    <cfRule type="cellIs" dxfId="2762" priority="178" operator="greaterThan">
      <formula>1</formula>
    </cfRule>
    <cfRule type="cellIs" dxfId="2761" priority="179" operator="between">
      <formula>0.95</formula>
      <formula>1</formula>
    </cfRule>
    <cfRule type="cellIs" dxfId="2760" priority="180" stopIfTrue="1" operator="between">
      <formula>0</formula>
      <formula>0.5</formula>
    </cfRule>
  </conditionalFormatting>
  <conditionalFormatting sqref="AA206">
    <cfRule type="cellIs" dxfId="2759" priority="171" operator="between">
      <formula>0.76</formula>
      <formula>0.95</formula>
    </cfRule>
    <cfRule type="cellIs" dxfId="2758" priority="172" operator="between">
      <formula>0.51</formula>
      <formula>0.75</formula>
    </cfRule>
    <cfRule type="cellIs" dxfId="2757" priority="173" operator="greaterThan">
      <formula>1</formula>
    </cfRule>
    <cfRule type="cellIs" dxfId="2756" priority="174" operator="between">
      <formula>0.95</formula>
      <formula>1</formula>
    </cfRule>
    <cfRule type="cellIs" dxfId="2755" priority="175" stopIfTrue="1" operator="between">
      <formula>0</formula>
      <formula>0.5</formula>
    </cfRule>
  </conditionalFormatting>
  <conditionalFormatting sqref="AA210">
    <cfRule type="cellIs" dxfId="2754" priority="166" operator="between">
      <formula>0.76</formula>
      <formula>0.95</formula>
    </cfRule>
    <cfRule type="cellIs" dxfId="2753" priority="167" operator="between">
      <formula>0.51</formula>
      <formula>0.75</formula>
    </cfRule>
    <cfRule type="cellIs" dxfId="2752" priority="168" operator="greaterThan">
      <formula>1</formula>
    </cfRule>
    <cfRule type="cellIs" dxfId="2751" priority="169" operator="between">
      <formula>0.95</formula>
      <formula>1</formula>
    </cfRule>
    <cfRule type="cellIs" dxfId="2750" priority="170" stopIfTrue="1" operator="between">
      <formula>0</formula>
      <formula>0.5</formula>
    </cfRule>
  </conditionalFormatting>
  <conditionalFormatting sqref="AA218">
    <cfRule type="cellIs" dxfId="2749" priority="161" operator="between">
      <formula>0.76</formula>
      <formula>0.95</formula>
    </cfRule>
    <cfRule type="cellIs" dxfId="2748" priority="162" operator="between">
      <formula>0.51</formula>
      <formula>0.75</formula>
    </cfRule>
    <cfRule type="cellIs" dxfId="2747" priority="163" operator="greaterThan">
      <formula>1</formula>
    </cfRule>
    <cfRule type="cellIs" dxfId="2746" priority="164" operator="between">
      <formula>0.95</formula>
      <formula>1</formula>
    </cfRule>
    <cfRule type="cellIs" dxfId="2745" priority="165" stopIfTrue="1" operator="between">
      <formula>0</formula>
      <formula>0.5</formula>
    </cfRule>
  </conditionalFormatting>
  <conditionalFormatting sqref="AA219">
    <cfRule type="cellIs" dxfId="2744" priority="156" operator="between">
      <formula>0.76</formula>
      <formula>0.95</formula>
    </cfRule>
    <cfRule type="cellIs" dxfId="2743" priority="157" operator="between">
      <formula>0.51</formula>
      <formula>0.75</formula>
    </cfRule>
    <cfRule type="cellIs" dxfId="2742" priority="158" operator="greaterThan">
      <formula>1</formula>
    </cfRule>
    <cfRule type="cellIs" dxfId="2741" priority="159" operator="between">
      <formula>0.95</formula>
      <formula>1</formula>
    </cfRule>
    <cfRule type="cellIs" dxfId="2740" priority="160" stopIfTrue="1" operator="between">
      <formula>0</formula>
      <formula>0.5</formula>
    </cfRule>
  </conditionalFormatting>
  <conditionalFormatting sqref="AA223">
    <cfRule type="cellIs" dxfId="2739" priority="151" operator="between">
      <formula>0.76</formula>
      <formula>0.95</formula>
    </cfRule>
    <cfRule type="cellIs" dxfId="2738" priority="152" operator="between">
      <formula>0.51</formula>
      <formula>0.75</formula>
    </cfRule>
    <cfRule type="cellIs" dxfId="2737" priority="153" operator="greaterThan">
      <formula>1</formula>
    </cfRule>
    <cfRule type="cellIs" dxfId="2736" priority="154" operator="between">
      <formula>0.95</formula>
      <formula>1</formula>
    </cfRule>
    <cfRule type="cellIs" dxfId="2735" priority="155" stopIfTrue="1" operator="between">
      <formula>0</formula>
      <formula>0.5</formula>
    </cfRule>
  </conditionalFormatting>
  <conditionalFormatting sqref="AA224">
    <cfRule type="cellIs" dxfId="2734" priority="146" operator="between">
      <formula>0.76</formula>
      <formula>0.95</formula>
    </cfRule>
    <cfRule type="cellIs" dxfId="2733" priority="147" operator="between">
      <formula>0.51</formula>
      <formula>0.75</formula>
    </cfRule>
    <cfRule type="cellIs" dxfId="2732" priority="148" operator="greaterThan">
      <formula>1</formula>
    </cfRule>
    <cfRule type="cellIs" dxfId="2731" priority="149" operator="between">
      <formula>0.95</formula>
      <formula>1</formula>
    </cfRule>
    <cfRule type="cellIs" dxfId="2730" priority="150" stopIfTrue="1" operator="between">
      <formula>0</formula>
      <formula>0.5</formula>
    </cfRule>
  </conditionalFormatting>
  <conditionalFormatting sqref="AA225">
    <cfRule type="cellIs" dxfId="2729" priority="141" operator="between">
      <formula>0.76</formula>
      <formula>0.95</formula>
    </cfRule>
    <cfRule type="cellIs" dxfId="2728" priority="142" operator="between">
      <formula>0.51</formula>
      <formula>0.75</formula>
    </cfRule>
    <cfRule type="cellIs" dxfId="2727" priority="143" operator="greaterThan">
      <formula>1</formula>
    </cfRule>
    <cfRule type="cellIs" dxfId="2726" priority="144" operator="between">
      <formula>0.95</formula>
      <formula>1</formula>
    </cfRule>
    <cfRule type="cellIs" dxfId="2725" priority="145" stopIfTrue="1" operator="between">
      <formula>0</formula>
      <formula>0.5</formula>
    </cfRule>
  </conditionalFormatting>
  <conditionalFormatting sqref="AA226">
    <cfRule type="cellIs" dxfId="2724" priority="136" operator="between">
      <formula>0.76</formula>
      <formula>0.95</formula>
    </cfRule>
    <cfRule type="cellIs" dxfId="2723" priority="137" operator="between">
      <formula>0.51</formula>
      <formula>0.75</formula>
    </cfRule>
    <cfRule type="cellIs" dxfId="2722" priority="138" operator="greaterThan">
      <formula>1</formula>
    </cfRule>
    <cfRule type="cellIs" dxfId="2721" priority="139" operator="between">
      <formula>0.95</formula>
      <formula>1</formula>
    </cfRule>
    <cfRule type="cellIs" dxfId="2720" priority="140" stopIfTrue="1" operator="between">
      <formula>0</formula>
      <formula>0.5</formula>
    </cfRule>
  </conditionalFormatting>
  <conditionalFormatting sqref="AA227">
    <cfRule type="cellIs" dxfId="2719" priority="131" operator="between">
      <formula>0.3751</formula>
      <formula>0.475</formula>
    </cfRule>
    <cfRule type="cellIs" dxfId="2718" priority="132" operator="between">
      <formula>0.2551</formula>
      <formula>0.375</formula>
    </cfRule>
    <cfRule type="cellIs" dxfId="2717" priority="133" operator="greaterThan">
      <formula>0.505</formula>
    </cfRule>
    <cfRule type="cellIs" dxfId="2716" priority="134" operator="between">
      <formula>0.4751</formula>
      <formula>0.51</formula>
    </cfRule>
    <cfRule type="cellIs" dxfId="2715" priority="135" stopIfTrue="1" operator="between">
      <formula>0</formula>
      <formula>0.255</formula>
    </cfRule>
  </conditionalFormatting>
  <conditionalFormatting sqref="J15">
    <cfRule type="cellIs" dxfId="1832" priority="126" operator="between">
      <formula>0.76</formula>
      <formula>0.95</formula>
    </cfRule>
    <cfRule type="cellIs" dxfId="1831" priority="127" operator="between">
      <formula>0.51</formula>
      <formula>0.75</formula>
    </cfRule>
    <cfRule type="cellIs" dxfId="1830" priority="128" operator="greaterThan">
      <formula>1</formula>
    </cfRule>
    <cfRule type="cellIs" dxfId="1829" priority="129" operator="between">
      <formula>0.95</formula>
      <formula>1</formula>
    </cfRule>
    <cfRule type="cellIs" dxfId="1828" priority="130" stopIfTrue="1" operator="between">
      <formula>0</formula>
      <formula>0.5</formula>
    </cfRule>
  </conditionalFormatting>
  <conditionalFormatting sqref="L15">
    <cfRule type="cellIs" dxfId="1827" priority="121" operator="between">
      <formula>0.376</formula>
      <formula>0.475</formula>
    </cfRule>
    <cfRule type="cellIs" dxfId="1826" priority="122" operator="between">
      <formula>0.2551</formula>
      <formula>0.3751</formula>
    </cfRule>
    <cfRule type="cellIs" dxfId="1825" priority="123" operator="greaterThan">
      <formula>0.505</formula>
    </cfRule>
    <cfRule type="cellIs" dxfId="1824" priority="124" operator="between">
      <formula>0.48</formula>
      <formula>0.5</formula>
    </cfRule>
    <cfRule type="cellIs" dxfId="1823" priority="125" stopIfTrue="1" operator="between">
      <formula>0</formula>
      <formula>0.255</formula>
    </cfRule>
  </conditionalFormatting>
  <conditionalFormatting sqref="M15">
    <cfRule type="cellIs" dxfId="1822" priority="116" operator="between">
      <formula>0.376</formula>
      <formula>0.475</formula>
    </cfRule>
    <cfRule type="cellIs" dxfId="1821" priority="117" operator="between">
      <formula>0.2551</formula>
      <formula>0.3751</formula>
    </cfRule>
    <cfRule type="cellIs" dxfId="1820" priority="118" operator="greaterThan">
      <formula>0.505</formula>
    </cfRule>
    <cfRule type="cellIs" dxfId="1819" priority="119" operator="between">
      <formula>0.48</formula>
      <formula>0.5</formula>
    </cfRule>
    <cfRule type="cellIs" dxfId="1818" priority="120" stopIfTrue="1" operator="between">
      <formula>0</formula>
      <formula>0.255</formula>
    </cfRule>
  </conditionalFormatting>
  <conditionalFormatting sqref="L37">
    <cfRule type="cellIs" dxfId="1817" priority="111" operator="between">
      <formula>0.3751</formula>
      <formula>0.475</formula>
    </cfRule>
    <cfRule type="cellIs" dxfId="1816" priority="112" operator="between">
      <formula>0.2551</formula>
      <formula>0.375</formula>
    </cfRule>
    <cfRule type="cellIs" dxfId="1815" priority="113" operator="greaterThan">
      <formula>0.505</formula>
    </cfRule>
    <cfRule type="cellIs" dxfId="1814" priority="114" operator="between">
      <formula>0.4751</formula>
      <formula>0.5</formula>
    </cfRule>
    <cfRule type="cellIs" dxfId="1813" priority="115" stopIfTrue="1" operator="between">
      <formula>0</formula>
      <formula>0.255</formula>
    </cfRule>
  </conditionalFormatting>
  <conditionalFormatting sqref="M37">
    <cfRule type="cellIs" dxfId="1812" priority="106" operator="between">
      <formula>0.3751</formula>
      <formula>0.475</formula>
    </cfRule>
    <cfRule type="cellIs" dxfId="1811" priority="107" operator="between">
      <formula>0.2551</formula>
      <formula>0.375</formula>
    </cfRule>
    <cfRule type="cellIs" dxfId="1810" priority="108" operator="greaterThan">
      <formula>0.505</formula>
    </cfRule>
    <cfRule type="cellIs" dxfId="1809" priority="109" operator="between">
      <formula>0.4751</formula>
      <formula>0.5</formula>
    </cfRule>
    <cfRule type="cellIs" dxfId="1808" priority="110" stopIfTrue="1" operator="between">
      <formula>0</formula>
      <formula>0.255</formula>
    </cfRule>
  </conditionalFormatting>
  <conditionalFormatting sqref="L65:M65">
    <cfRule type="cellIs" dxfId="1807" priority="101" operator="between">
      <formula>0.191</formula>
      <formula>0.24</formula>
    </cfRule>
    <cfRule type="cellIs" dxfId="1806" priority="102" operator="between">
      <formula>0.1251</formula>
      <formula>0.19</formula>
    </cfRule>
    <cfRule type="cellIs" dxfId="1805" priority="103" operator="greaterThan">
      <formula>0.2601</formula>
    </cfRule>
    <cfRule type="cellIs" dxfId="1804" priority="104" operator="between">
      <formula>0.2401</formula>
      <formula>0.26</formula>
    </cfRule>
    <cfRule type="cellIs" dxfId="1803" priority="105" stopIfTrue="1" operator="between">
      <formula>0</formula>
      <formula>0.125</formula>
    </cfRule>
  </conditionalFormatting>
  <conditionalFormatting sqref="L77">
    <cfRule type="cellIs" dxfId="1802" priority="96" operator="between">
      <formula>0.191</formula>
      <formula>0.24</formula>
    </cfRule>
    <cfRule type="cellIs" dxfId="1801" priority="97" operator="between">
      <formula>0.1251</formula>
      <formula>0.19</formula>
    </cfRule>
    <cfRule type="cellIs" dxfId="1800" priority="98" operator="greaterThan">
      <formula>0.2601</formula>
    </cfRule>
    <cfRule type="cellIs" dxfId="1799" priority="99" operator="between">
      <formula>0.2401</formula>
      <formula>0.26</formula>
    </cfRule>
    <cfRule type="cellIs" dxfId="1798" priority="100" stopIfTrue="1" operator="between">
      <formula>0</formula>
      <formula>0.125</formula>
    </cfRule>
  </conditionalFormatting>
  <conditionalFormatting sqref="M77">
    <cfRule type="cellIs" dxfId="1797" priority="91" operator="between">
      <formula>0.191</formula>
      <formula>0.24</formula>
    </cfRule>
    <cfRule type="cellIs" dxfId="1796" priority="92" operator="between">
      <formula>0.1251</formula>
      <formula>0.19</formula>
    </cfRule>
    <cfRule type="cellIs" dxfId="1795" priority="93" operator="greaterThan">
      <formula>0.2601</formula>
    </cfRule>
    <cfRule type="cellIs" dxfId="1794" priority="94" operator="between">
      <formula>0.2401</formula>
      <formula>0.26</formula>
    </cfRule>
    <cfRule type="cellIs" dxfId="1793" priority="95" stopIfTrue="1" operator="between">
      <formula>0</formula>
      <formula>0.125</formula>
    </cfRule>
  </conditionalFormatting>
  <conditionalFormatting sqref="L98:M98">
    <cfRule type="cellIs" dxfId="1792" priority="86" operator="between">
      <formula>0.191</formula>
      <formula>0.24</formula>
    </cfRule>
    <cfRule type="cellIs" dxfId="1791" priority="87" operator="between">
      <formula>0.1251</formula>
      <formula>0.19</formula>
    </cfRule>
    <cfRule type="cellIs" dxfId="1790" priority="88" operator="greaterThan">
      <formula>0.2601</formula>
    </cfRule>
    <cfRule type="cellIs" dxfId="1789" priority="89" operator="between">
      <formula>0.2401</formula>
      <formula>0.26</formula>
    </cfRule>
    <cfRule type="cellIs" dxfId="1788" priority="90" stopIfTrue="1" operator="between">
      <formula>0</formula>
      <formula>0.125</formula>
    </cfRule>
  </conditionalFormatting>
  <conditionalFormatting sqref="L106:M106">
    <cfRule type="cellIs" dxfId="1787" priority="81" operator="between">
      <formula>0.191</formula>
      <formula>0.24</formula>
    </cfRule>
    <cfRule type="cellIs" dxfId="1786" priority="82" operator="between">
      <formula>0.1251</formula>
      <formula>0.19</formula>
    </cfRule>
    <cfRule type="cellIs" dxfId="1785" priority="83" operator="greaterThan">
      <formula>0.2601</formula>
    </cfRule>
    <cfRule type="cellIs" dxfId="1784" priority="84" operator="between">
      <formula>0.2401</formula>
      <formula>0.26</formula>
    </cfRule>
    <cfRule type="cellIs" dxfId="1783" priority="85" stopIfTrue="1" operator="between">
      <formula>0</formula>
      <formula>0.125</formula>
    </cfRule>
  </conditionalFormatting>
  <conditionalFormatting sqref="L123:M123">
    <cfRule type="cellIs" dxfId="1782" priority="76" operator="between">
      <formula>0.191</formula>
      <formula>0.24</formula>
    </cfRule>
    <cfRule type="cellIs" dxfId="1781" priority="77" operator="between">
      <formula>0.1251</formula>
      <formula>0.19</formula>
    </cfRule>
    <cfRule type="cellIs" dxfId="1780" priority="78" operator="greaterThan">
      <formula>0.2601</formula>
    </cfRule>
    <cfRule type="cellIs" dxfId="1779" priority="79" operator="between">
      <formula>0.2401</formula>
      <formula>0.26</formula>
    </cfRule>
    <cfRule type="cellIs" dxfId="1778" priority="80" stopIfTrue="1" operator="between">
      <formula>0</formula>
      <formula>0.125</formula>
    </cfRule>
  </conditionalFormatting>
  <conditionalFormatting sqref="L146:M146">
    <cfRule type="cellIs" dxfId="1777" priority="71" operator="between">
      <formula>0.191</formula>
      <formula>0.24</formula>
    </cfRule>
    <cfRule type="cellIs" dxfId="1776" priority="72" operator="between">
      <formula>0.1251</formula>
      <formula>0.19</formula>
    </cfRule>
    <cfRule type="cellIs" dxfId="1775" priority="73" operator="greaterThan">
      <formula>0.2601</formula>
    </cfRule>
    <cfRule type="cellIs" dxfId="1774" priority="74" operator="between">
      <formula>0.2401</formula>
      <formula>0.26</formula>
    </cfRule>
    <cfRule type="cellIs" dxfId="1773" priority="75" stopIfTrue="1" operator="between">
      <formula>0</formula>
      <formula>0.125</formula>
    </cfRule>
  </conditionalFormatting>
  <conditionalFormatting sqref="L155:M155">
    <cfRule type="cellIs" dxfId="1772" priority="66" operator="between">
      <formula>0.191</formula>
      <formula>0.24</formula>
    </cfRule>
    <cfRule type="cellIs" dxfId="1771" priority="67" operator="between">
      <formula>0.1251</formula>
      <formula>0.19</formula>
    </cfRule>
    <cfRule type="cellIs" dxfId="1770" priority="68" operator="greaterThan">
      <formula>0.2601</formula>
    </cfRule>
    <cfRule type="cellIs" dxfId="1769" priority="69" operator="between">
      <formula>0.2401</formula>
      <formula>0.26</formula>
    </cfRule>
    <cfRule type="cellIs" dxfId="1768" priority="70" stopIfTrue="1" operator="between">
      <formula>0</formula>
      <formula>0.125</formula>
    </cfRule>
  </conditionalFormatting>
  <conditionalFormatting sqref="L167:M167">
    <cfRule type="cellIs" dxfId="1767" priority="61" operator="between">
      <formula>0.191</formula>
      <formula>0.24</formula>
    </cfRule>
    <cfRule type="cellIs" dxfId="1766" priority="62" operator="between">
      <formula>0.1251</formula>
      <formula>0.19</formula>
    </cfRule>
    <cfRule type="cellIs" dxfId="1765" priority="63" operator="greaterThan">
      <formula>0.2601</formula>
    </cfRule>
    <cfRule type="cellIs" dxfId="1764" priority="64" operator="between">
      <formula>0.2401</formula>
      <formula>0.26</formula>
    </cfRule>
    <cfRule type="cellIs" dxfId="1763" priority="65" stopIfTrue="1" operator="between">
      <formula>0</formula>
      <formula>0.125</formula>
    </cfRule>
  </conditionalFormatting>
  <conditionalFormatting sqref="L177:M177">
    <cfRule type="cellIs" dxfId="1762" priority="56" operator="between">
      <formula>0.191</formula>
      <formula>0.24</formula>
    </cfRule>
    <cfRule type="cellIs" dxfId="1761" priority="57" operator="between">
      <formula>0.1251</formula>
      <formula>0.19</formula>
    </cfRule>
    <cfRule type="cellIs" dxfId="1760" priority="58" operator="greaterThan">
      <formula>0.2601</formula>
    </cfRule>
    <cfRule type="cellIs" dxfId="1759" priority="59" operator="between">
      <formula>0.2401</formula>
      <formula>0.26</formula>
    </cfRule>
    <cfRule type="cellIs" dxfId="1758" priority="60" stopIfTrue="1" operator="between">
      <formula>0</formula>
      <formula>0.125</formula>
    </cfRule>
  </conditionalFormatting>
  <conditionalFormatting sqref="L178:M178">
    <cfRule type="cellIs" dxfId="1757" priority="51" operator="between">
      <formula>0.191</formula>
      <formula>0.24</formula>
    </cfRule>
    <cfRule type="cellIs" dxfId="1756" priority="52" operator="between">
      <formula>0.1251</formula>
      <formula>0.19</formula>
    </cfRule>
    <cfRule type="cellIs" dxfId="1755" priority="53" operator="greaterThan">
      <formula>0.2601</formula>
    </cfRule>
    <cfRule type="cellIs" dxfId="1754" priority="54" operator="between">
      <formula>0.2401</formula>
      <formula>0.26</formula>
    </cfRule>
    <cfRule type="cellIs" dxfId="1753" priority="55" stopIfTrue="1" operator="between">
      <formula>0</formula>
      <formula>0.125</formula>
    </cfRule>
  </conditionalFormatting>
  <conditionalFormatting sqref="L203:M203">
    <cfRule type="cellIs" dxfId="1752" priority="46" operator="between">
      <formula>0.191</formula>
      <formula>0.24</formula>
    </cfRule>
    <cfRule type="cellIs" dxfId="1751" priority="47" operator="between">
      <formula>0.1251</formula>
      <formula>0.19</formula>
    </cfRule>
    <cfRule type="cellIs" dxfId="1750" priority="48" operator="greaterThan">
      <formula>0.2601</formula>
    </cfRule>
    <cfRule type="cellIs" dxfId="1749" priority="49" operator="between">
      <formula>0.2401</formula>
      <formula>0.26</formula>
    </cfRule>
    <cfRule type="cellIs" dxfId="1748" priority="50" stopIfTrue="1" operator="between">
      <formula>0</formula>
      <formula>0.125</formula>
    </cfRule>
  </conditionalFormatting>
  <conditionalFormatting sqref="L206:M206">
    <cfRule type="cellIs" dxfId="1747" priority="41" operator="between">
      <formula>0.191</formula>
      <formula>0.24</formula>
    </cfRule>
    <cfRule type="cellIs" dxfId="1746" priority="42" operator="between">
      <formula>0.1251</formula>
      <formula>0.19</formula>
    </cfRule>
    <cfRule type="cellIs" dxfId="1745" priority="43" operator="greaterThan">
      <formula>0.2601</formula>
    </cfRule>
    <cfRule type="cellIs" dxfId="1744" priority="44" operator="between">
      <formula>0.2401</formula>
      <formula>0.26</formula>
    </cfRule>
    <cfRule type="cellIs" dxfId="1743" priority="45" stopIfTrue="1" operator="between">
      <formula>0</formula>
      <formula>0.125</formula>
    </cfRule>
  </conditionalFormatting>
  <conditionalFormatting sqref="L210:M210">
    <cfRule type="cellIs" dxfId="1742" priority="36" operator="between">
      <formula>0.191</formula>
      <formula>0.24</formula>
    </cfRule>
    <cfRule type="cellIs" dxfId="1741" priority="37" operator="between">
      <formula>0.1251</formula>
      <formula>0.19</formula>
    </cfRule>
    <cfRule type="cellIs" dxfId="1740" priority="38" operator="greaterThan">
      <formula>0.2601</formula>
    </cfRule>
    <cfRule type="cellIs" dxfId="1739" priority="39" operator="between">
      <formula>0.2401</formula>
      <formula>0.26</formula>
    </cfRule>
    <cfRule type="cellIs" dxfId="1738" priority="40" stopIfTrue="1" operator="between">
      <formula>0</formula>
      <formula>0.125</formula>
    </cfRule>
  </conditionalFormatting>
  <conditionalFormatting sqref="L218:M218">
    <cfRule type="cellIs" dxfId="1737" priority="31" operator="between">
      <formula>0.191</formula>
      <formula>0.24</formula>
    </cfRule>
    <cfRule type="cellIs" dxfId="1736" priority="32" operator="between">
      <formula>0.1251</formula>
      <formula>0.19</formula>
    </cfRule>
    <cfRule type="cellIs" dxfId="1735" priority="33" operator="greaterThan">
      <formula>0.2601</formula>
    </cfRule>
    <cfRule type="cellIs" dxfId="1734" priority="34" operator="between">
      <formula>0.2401</formula>
      <formula>0.26</formula>
    </cfRule>
    <cfRule type="cellIs" dxfId="1733" priority="35" stopIfTrue="1" operator="between">
      <formula>0</formula>
      <formula>0.125</formula>
    </cfRule>
  </conditionalFormatting>
  <conditionalFormatting sqref="L219:M219">
    <cfRule type="cellIs" dxfId="1732" priority="26" operator="between">
      <formula>0.191</formula>
      <formula>0.24</formula>
    </cfRule>
    <cfRule type="cellIs" dxfId="1731" priority="27" operator="between">
      <formula>0.1251</formula>
      <formula>0.19</formula>
    </cfRule>
    <cfRule type="cellIs" dxfId="1730" priority="28" operator="greaterThan">
      <formula>0.2601</formula>
    </cfRule>
    <cfRule type="cellIs" dxfId="1729" priority="29" operator="between">
      <formula>0.2401</formula>
      <formula>0.26</formula>
    </cfRule>
    <cfRule type="cellIs" dxfId="1728" priority="30" stopIfTrue="1" operator="between">
      <formula>0</formula>
      <formula>0.125</formula>
    </cfRule>
  </conditionalFormatting>
  <conditionalFormatting sqref="L223:M223">
    <cfRule type="cellIs" dxfId="1727" priority="21" operator="between">
      <formula>0.191</formula>
      <formula>0.24</formula>
    </cfRule>
    <cfRule type="cellIs" dxfId="1726" priority="22" operator="between">
      <formula>0.1251</formula>
      <formula>0.19</formula>
    </cfRule>
    <cfRule type="cellIs" dxfId="1725" priority="23" operator="greaterThan">
      <formula>0.2601</formula>
    </cfRule>
    <cfRule type="cellIs" dxfId="1724" priority="24" operator="between">
      <formula>0.2401</formula>
      <formula>0.26</formula>
    </cfRule>
    <cfRule type="cellIs" dxfId="1723" priority="25" stopIfTrue="1" operator="between">
      <formula>0</formula>
      <formula>0.125</formula>
    </cfRule>
  </conditionalFormatting>
  <conditionalFormatting sqref="L224:M224">
    <cfRule type="cellIs" dxfId="1722" priority="16" operator="between">
      <formula>0.191</formula>
      <formula>0.24</formula>
    </cfRule>
    <cfRule type="cellIs" dxfId="1721" priority="17" operator="between">
      <formula>0.1251</formula>
      <formula>0.19</formula>
    </cfRule>
    <cfRule type="cellIs" dxfId="1720" priority="18" operator="greaterThan">
      <formula>0.2601</formula>
    </cfRule>
    <cfRule type="cellIs" dxfId="1719" priority="19" operator="between">
      <formula>0.2401</formula>
      <formula>0.26</formula>
    </cfRule>
    <cfRule type="cellIs" dxfId="1718" priority="20" stopIfTrue="1" operator="between">
      <formula>0</formula>
      <formula>0.125</formula>
    </cfRule>
  </conditionalFormatting>
  <conditionalFormatting sqref="L225:M225">
    <cfRule type="cellIs" dxfId="1717" priority="11" operator="between">
      <formula>0.191</formula>
      <formula>0.24</formula>
    </cfRule>
    <cfRule type="cellIs" dxfId="1716" priority="12" operator="between">
      <formula>0.1251</formula>
      <formula>0.19</formula>
    </cfRule>
    <cfRule type="cellIs" dxfId="1715" priority="13" operator="greaterThan">
      <formula>0.2601</formula>
    </cfRule>
    <cfRule type="cellIs" dxfId="1714" priority="14" operator="between">
      <formula>0.2401</formula>
      <formula>0.26</formula>
    </cfRule>
    <cfRule type="cellIs" dxfId="1713" priority="15" stopIfTrue="1" operator="between">
      <formula>0</formula>
      <formula>0.125</formula>
    </cfRule>
  </conditionalFormatting>
  <conditionalFormatting sqref="L226:M226">
    <cfRule type="cellIs" dxfId="1712" priority="6" operator="between">
      <formula>0.191</formula>
      <formula>0.24</formula>
    </cfRule>
    <cfRule type="cellIs" dxfId="1711" priority="7" operator="between">
      <formula>0.1251</formula>
      <formula>0.19</formula>
    </cfRule>
    <cfRule type="cellIs" dxfId="1710" priority="8" operator="greaterThan">
      <formula>0.2601</formula>
    </cfRule>
    <cfRule type="cellIs" dxfId="1709" priority="9" operator="between">
      <formula>0.2401</formula>
      <formula>0.26</formula>
    </cfRule>
    <cfRule type="cellIs" dxfId="1708" priority="10" stopIfTrue="1" operator="between">
      <formula>0</formula>
      <formula>0.125</formula>
    </cfRule>
  </conditionalFormatting>
  <conditionalFormatting sqref="L227:M227">
    <cfRule type="cellIs" dxfId="1707" priority="1" operator="between">
      <formula>0.191</formula>
      <formula>0.24</formula>
    </cfRule>
    <cfRule type="cellIs" dxfId="1706" priority="2" operator="between">
      <formula>0.1251</formula>
      <formula>0.19</formula>
    </cfRule>
    <cfRule type="cellIs" dxfId="1705" priority="3" operator="greaterThan">
      <formula>0.2601</formula>
    </cfRule>
    <cfRule type="cellIs" dxfId="1704" priority="4" operator="between">
      <formula>0.2401</formula>
      <formula>0.26</formula>
    </cfRule>
    <cfRule type="cellIs" dxfId="1703" priority="5" stopIfTrue="1" operator="between">
      <formula>0</formula>
      <formula>0.125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528" id="{7D7DE63B-5E55-4D88-AB07-4FB52BF8C37A}">
            <xm:f>AND(IF(H78&gt;'Plan de Accion 2018'!X150,H78&lt;&gt;¨N/A¨))</xm:f>
            <x14:dxf>
              <fill>
                <patternFill>
                  <bgColor theme="1" tint="0.499984740745262"/>
                </patternFill>
              </fill>
            </x14:dxf>
          </x14:cfRule>
          <x14:cfRule type="expression" priority="21315" stopIfTrue="1" id="{00000000-000E-0000-0300-0000FA060000}">
            <xm:f>AND(IF(H78='Plan de Accion 2018'!X150,H78&lt;&gt;"N/A"))</xm:f>
            <x14:dxf>
              <fill>
                <patternFill>
                  <bgColor rgb="FF00B050"/>
                </patternFill>
              </fill>
            </x14:dxf>
          </x14:cfRule>
          <x14:cfRule type="expression" priority="21317" stopIfTrue="1" id="{00000000-000E-0000-0300-0000FC060000}">
            <xm:f>AND(IF(H78&lt;'Plan de Accion 2018'!X150,H78&lt;&gt;"N/A"))</xm:f>
            <x14:dxf>
              <fill>
                <patternFill>
                  <bgColor indexed="10"/>
                </patternFill>
              </fill>
            </x14:dxf>
          </x14:cfRule>
          <xm:sqref>H78:H81</xm:sqref>
        </x14:conditionalFormatting>
        <x14:conditionalFormatting xmlns:xm="http://schemas.microsoft.com/office/excel/2006/main">
          <x14:cfRule type="expression" priority="19323" id="{374B9984-C349-4B39-BEE8-8E62463B9BB8}">
            <xm:f>AND(IF(H156&gt;'Plan de Accion 2018'!X125,H156&lt;&gt;¨N/A¨))</xm:f>
            <x14:dxf>
              <fill>
                <patternFill>
                  <bgColor theme="1" tint="0.499984740745262"/>
                </patternFill>
              </fill>
            </x14:dxf>
          </x14:cfRule>
          <x14:cfRule type="expression" priority="19324" stopIfTrue="1" id="{FCA5533B-7C93-4E6E-BD83-04B517DCF5BB}">
            <xm:f>AND(IF(H156='Plan de Accion 2018'!X125,H156&lt;&gt;"N/A"))</xm:f>
            <x14:dxf>
              <fill>
                <patternFill>
                  <bgColor rgb="FF00B050"/>
                </patternFill>
              </fill>
            </x14:dxf>
          </x14:cfRule>
          <x14:cfRule type="expression" priority="19325" stopIfTrue="1" id="{3917D00B-4063-4310-8EF2-9336F8BAE893}">
            <xm:f>AND(IF(H156&lt;'Plan de Accion 2018'!X125,H156&lt;&gt;"N/A"))</xm:f>
            <x14:dxf>
              <fill>
                <patternFill>
                  <bgColor indexed="10"/>
                </patternFill>
              </fill>
            </x14:dxf>
          </x14:cfRule>
          <xm:sqref>H156:H159</xm:sqref>
        </x14:conditionalFormatting>
        <x14:conditionalFormatting xmlns:xm="http://schemas.microsoft.com/office/excel/2006/main">
          <x14:cfRule type="expression" priority="19317" id="{15910998-0129-4DFE-A9D7-2A5995B422E7}">
            <xm:f>AND(IF(H36&gt;'Plan de Accion 2018'!X142,H36&lt;&gt;¨N/A¨))</xm:f>
            <x14:dxf>
              <fill>
                <patternFill>
                  <bgColor theme="1" tint="0.499984740745262"/>
                </patternFill>
              </fill>
            </x14:dxf>
          </x14:cfRule>
          <x14:cfRule type="expression" priority="19318" stopIfTrue="1" id="{4AEC7DDB-9BA9-4EEA-AD17-2A8C5185CF9E}">
            <xm:f>AND(IF(H36='Plan de Accion 2018'!X142,H36&lt;&gt;"N/A"))</xm:f>
            <x14:dxf>
              <fill>
                <patternFill>
                  <bgColor rgb="FF00B050"/>
                </patternFill>
              </fill>
            </x14:dxf>
          </x14:cfRule>
          <x14:cfRule type="expression" priority="19319" stopIfTrue="1" id="{CC1D1C7A-F5A4-4539-92E8-F46742F4A70A}">
            <xm:f>AND(IF(H36&lt;'Plan de Accion 2018'!X142,H36&lt;&gt;"N/A"))</xm:f>
            <x14:dxf>
              <fill>
                <patternFill>
                  <bgColor indexed="10"/>
                </patternFill>
              </fill>
            </x14:dxf>
          </x14:cfRule>
          <xm:sqref>H36</xm:sqref>
        </x14:conditionalFormatting>
        <x14:conditionalFormatting xmlns:xm="http://schemas.microsoft.com/office/excel/2006/main">
          <x14:cfRule type="expression" priority="19242" id="{052C392E-AA47-4103-B6F0-E95620724C66}">
            <xm:f>AND(IF(H160&gt;'Plan de Accion 2018'!X132,H160&lt;&gt;¨N/A¨))</xm:f>
            <x14:dxf>
              <fill>
                <patternFill>
                  <bgColor theme="1" tint="0.499984740745262"/>
                </patternFill>
              </fill>
            </x14:dxf>
          </x14:cfRule>
          <x14:cfRule type="expression" priority="19243" stopIfTrue="1" id="{B72CA923-DECC-40D9-AC7C-4D3A8D6BB28E}">
            <xm:f>AND(IF(H160='Plan de Accion 2018'!X132,H160&lt;&gt;"N/A"))</xm:f>
            <x14:dxf>
              <fill>
                <patternFill>
                  <bgColor rgb="FF00B050"/>
                </patternFill>
              </fill>
            </x14:dxf>
          </x14:cfRule>
          <x14:cfRule type="expression" priority="19244" stopIfTrue="1" id="{CA3316FF-A988-4480-8E74-B7ABC51372FD}">
            <xm:f>AND(IF(H160&lt;'Plan de Accion 2018'!X132,H160&lt;&gt;"N/A"))</xm:f>
            <x14:dxf>
              <fill>
                <patternFill>
                  <bgColor indexed="10"/>
                </patternFill>
              </fill>
            </x14:dxf>
          </x14:cfRule>
          <xm:sqref>H160:H162</xm:sqref>
        </x14:conditionalFormatting>
        <x14:conditionalFormatting xmlns:xm="http://schemas.microsoft.com/office/excel/2006/main">
          <x14:cfRule type="expression" priority="19233" id="{C6AADA74-C14F-4565-9C53-5A11C1734B89}">
            <xm:f>AND(IF(H66&gt;'Plan de Accion 2018'!X80,H66&lt;&gt;¨N/A¨))</xm:f>
            <x14:dxf>
              <fill>
                <patternFill>
                  <bgColor theme="1" tint="0.499984740745262"/>
                </patternFill>
              </fill>
            </x14:dxf>
          </x14:cfRule>
          <x14:cfRule type="expression" priority="19234" stopIfTrue="1" id="{31AC552F-C835-4304-B7F0-F966972CDD16}">
            <xm:f>AND(IF(H66='Plan de Accion 2018'!X80,H66&lt;&gt;"N/A"))</xm:f>
            <x14:dxf>
              <fill>
                <patternFill>
                  <bgColor rgb="FF00B050"/>
                </patternFill>
              </fill>
            </x14:dxf>
          </x14:cfRule>
          <x14:cfRule type="expression" priority="19235" stopIfTrue="1" id="{1100336D-8668-4BD2-9ED2-A9752E38164B}">
            <xm:f>AND(IF(H66&lt;'Plan de Accion 2018'!X80,H66&lt;&gt;"N/A"))</xm:f>
            <x14:dxf>
              <fill>
                <patternFill>
                  <bgColor indexed="10"/>
                </patternFill>
              </fill>
            </x14:dxf>
          </x14:cfRule>
          <xm:sqref>H66:H68</xm:sqref>
        </x14:conditionalFormatting>
        <x14:conditionalFormatting xmlns:xm="http://schemas.microsoft.com/office/excel/2006/main">
          <x14:cfRule type="expression" priority="19224" id="{5BAE065E-2080-450D-875A-7BD8F0DE3CA5}">
            <xm:f>AND(IF(H69&gt;'Plan de Accion 2018'!X85,H69&lt;&gt;¨N/A¨))</xm:f>
            <x14:dxf>
              <fill>
                <patternFill>
                  <bgColor theme="1" tint="0.499984740745262"/>
                </patternFill>
              </fill>
            </x14:dxf>
          </x14:cfRule>
          <x14:cfRule type="expression" priority="19225" stopIfTrue="1" id="{57E61F58-88D1-4069-8E15-9C1C39FADE4E}">
            <xm:f>AND(IF(H69='Plan de Accion 2018'!X85,H69&lt;&gt;"N/A"))</xm:f>
            <x14:dxf>
              <fill>
                <patternFill>
                  <bgColor rgb="FF00B050"/>
                </patternFill>
              </fill>
            </x14:dxf>
          </x14:cfRule>
          <x14:cfRule type="expression" priority="19226" stopIfTrue="1" id="{04370C36-0089-4BA0-A60D-5670C2FDF569}">
            <xm:f>AND(IF(H69&lt;'Plan de Accion 2018'!X85,H69&lt;&gt;"N/A"))</xm:f>
            <x14:dxf>
              <fill>
                <patternFill>
                  <bgColor indexed="10"/>
                </patternFill>
              </fill>
            </x14:dxf>
          </x14:cfRule>
          <xm:sqref>H69:H74</xm:sqref>
        </x14:conditionalFormatting>
        <x14:conditionalFormatting xmlns:xm="http://schemas.microsoft.com/office/excel/2006/main">
          <x14:cfRule type="expression" priority="19212" id="{2C3BF7CD-BA0A-480D-9F71-013F402ACC11}">
            <xm:f>AND(IF(H75&gt;'Plan de Accion 2018'!X83,H75&lt;&gt;¨N/A¨))</xm:f>
            <x14:dxf>
              <fill>
                <patternFill>
                  <bgColor theme="1" tint="0.499984740745262"/>
                </patternFill>
              </fill>
            </x14:dxf>
          </x14:cfRule>
          <x14:cfRule type="expression" priority="19213" stopIfTrue="1" id="{C2FD101A-C2DC-4070-9A97-72B30C81DC95}">
            <xm:f>AND(IF(H75='Plan de Accion 2018'!X83,H75&lt;&gt;"N/A"))</xm:f>
            <x14:dxf>
              <fill>
                <patternFill>
                  <bgColor rgb="FF00B050"/>
                </patternFill>
              </fill>
            </x14:dxf>
          </x14:cfRule>
          <x14:cfRule type="expression" priority="19214" stopIfTrue="1" id="{43543DB3-9128-4B58-B834-F389D59AC87D}">
            <xm:f>AND(IF(H75&lt;'Plan de Accion 2018'!X83,H75&lt;&gt;"N/A"))</xm:f>
            <x14:dxf>
              <fill>
                <patternFill>
                  <bgColor indexed="10"/>
                </patternFill>
              </fill>
            </x14:dxf>
          </x14:cfRule>
          <xm:sqref>H75:H76</xm:sqref>
        </x14:conditionalFormatting>
        <x14:conditionalFormatting xmlns:xm="http://schemas.microsoft.com/office/excel/2006/main">
          <x14:cfRule type="expression" priority="19200" id="{F4425813-8481-4FEC-91DF-1C41C861205B}">
            <xm:f>AND(IF(H82&gt;'Plan de Accion 2018'!X138,H82&lt;&gt;¨N/A¨))</xm:f>
            <x14:dxf>
              <fill>
                <patternFill>
                  <bgColor theme="1" tint="0.499984740745262"/>
                </patternFill>
              </fill>
            </x14:dxf>
          </x14:cfRule>
          <x14:cfRule type="expression" priority="19201" stopIfTrue="1" id="{EE6300BC-3367-4F05-AD5D-B2C0821F2916}">
            <xm:f>AND(IF(H82='Plan de Accion 2018'!X138,H82&lt;&gt;"N/A"))</xm:f>
            <x14:dxf>
              <fill>
                <patternFill>
                  <bgColor rgb="FF00B050"/>
                </patternFill>
              </fill>
            </x14:dxf>
          </x14:cfRule>
          <x14:cfRule type="expression" priority="19202" stopIfTrue="1" id="{B3E6CC0D-D1AF-4E95-8599-D41B69FACC17}">
            <xm:f>AND(IF(H82&lt;'Plan de Accion 2018'!X138,H82&lt;&gt;"N/A"))</xm:f>
            <x14:dxf>
              <fill>
                <patternFill>
                  <bgColor indexed="10"/>
                </patternFill>
              </fill>
            </x14:dxf>
          </x14:cfRule>
          <xm:sqref>H82</xm:sqref>
        </x14:conditionalFormatting>
        <x14:conditionalFormatting xmlns:xm="http://schemas.microsoft.com/office/excel/2006/main">
          <x14:cfRule type="expression" priority="19197" id="{AC264CAD-F79B-4650-BEDB-33B13F33182D}">
            <xm:f>AND(IF(H83&gt;'Plan de Accion 2018'!X147,H83&lt;&gt;¨N/A¨))</xm:f>
            <x14:dxf>
              <fill>
                <patternFill>
                  <bgColor theme="1" tint="0.499984740745262"/>
                </patternFill>
              </fill>
            </x14:dxf>
          </x14:cfRule>
          <x14:cfRule type="expression" priority="19198" stopIfTrue="1" id="{BA43120B-2AF7-4DB2-A25F-3478EC585EFB}">
            <xm:f>AND(IF(H83='Plan de Accion 2018'!X147,H83&lt;&gt;"N/A"))</xm:f>
            <x14:dxf>
              <fill>
                <patternFill>
                  <bgColor rgb="FF00B050"/>
                </patternFill>
              </fill>
            </x14:dxf>
          </x14:cfRule>
          <x14:cfRule type="expression" priority="19199" stopIfTrue="1" id="{5CCCCB4A-B844-4D5F-A3B5-19214844C1A0}">
            <xm:f>AND(IF(H83&lt;'Plan de Accion 2018'!X147,H83&lt;&gt;"N/A"))</xm:f>
            <x14:dxf>
              <fill>
                <patternFill>
                  <bgColor indexed="10"/>
                </patternFill>
              </fill>
            </x14:dxf>
          </x14:cfRule>
          <xm:sqref>H83</xm:sqref>
        </x14:conditionalFormatting>
        <x14:conditionalFormatting xmlns:xm="http://schemas.microsoft.com/office/excel/2006/main">
          <x14:cfRule type="expression" priority="19194" id="{A7C81FF8-A132-4BFF-878E-90A32B81EBF7}">
            <xm:f>AND(IF(H84&gt;'Plan de Accion 2018'!X149,H84&lt;&gt;¨N/A¨))</xm:f>
            <x14:dxf>
              <fill>
                <patternFill>
                  <bgColor theme="1" tint="0.499984740745262"/>
                </patternFill>
              </fill>
            </x14:dxf>
          </x14:cfRule>
          <x14:cfRule type="expression" priority="19195" stopIfTrue="1" id="{717E1B75-2A87-4663-92C8-E16F567F01FE}">
            <xm:f>AND(IF(H84='Plan de Accion 2018'!X149,H84&lt;&gt;"N/A"))</xm:f>
            <x14:dxf>
              <fill>
                <patternFill>
                  <bgColor rgb="FF00B050"/>
                </patternFill>
              </fill>
            </x14:dxf>
          </x14:cfRule>
          <x14:cfRule type="expression" priority="19196" stopIfTrue="1" id="{47F82822-7888-490A-837C-E954EBC9AA35}">
            <xm:f>AND(IF(H84&lt;'Plan de Accion 2018'!X149,H84&lt;&gt;"N/A"))</xm:f>
            <x14:dxf>
              <fill>
                <patternFill>
                  <bgColor indexed="10"/>
                </patternFill>
              </fill>
            </x14:dxf>
          </x14:cfRule>
          <xm:sqref>H84</xm:sqref>
        </x14:conditionalFormatting>
        <x14:conditionalFormatting xmlns:xm="http://schemas.microsoft.com/office/excel/2006/main">
          <x14:cfRule type="expression" priority="19191" id="{21F31CE3-215C-4E38-B450-140B239447C0}">
            <xm:f>AND(IF(H85&gt;'Plan de Accion 2018'!X125,H85&lt;&gt;¨N/A¨))</xm:f>
            <x14:dxf>
              <fill>
                <patternFill>
                  <bgColor theme="1" tint="0.499984740745262"/>
                </patternFill>
              </fill>
            </x14:dxf>
          </x14:cfRule>
          <x14:cfRule type="expression" priority="19192" stopIfTrue="1" id="{07E68019-DB8E-4DC8-B508-FD04BF990408}">
            <xm:f>AND(IF(H85='Plan de Accion 2018'!X125,H85&lt;&gt;"N/A"))</xm:f>
            <x14:dxf>
              <fill>
                <patternFill>
                  <bgColor rgb="FF00B050"/>
                </patternFill>
              </fill>
            </x14:dxf>
          </x14:cfRule>
          <x14:cfRule type="expression" priority="19193" stopIfTrue="1" id="{DCC7A6F0-0D68-4A63-9AAF-6C1DD5D4D040}">
            <xm:f>AND(IF(H85&lt;'Plan de Accion 2018'!X125,H85&lt;&gt;"N/A"))</xm:f>
            <x14:dxf>
              <fill>
                <patternFill>
                  <bgColor indexed="10"/>
                </patternFill>
              </fill>
            </x14:dxf>
          </x14:cfRule>
          <xm:sqref>H85:H86 H90</xm:sqref>
        </x14:conditionalFormatting>
        <x14:conditionalFormatting xmlns:xm="http://schemas.microsoft.com/office/excel/2006/main">
          <x14:cfRule type="expression" priority="19185" id="{00EF5851-0F15-4375-9114-B9723C7720BE}">
            <xm:f>AND(IF(H91&gt;'Plan de Accion 2018'!X132,H91&lt;&gt;¨N/A¨))</xm:f>
            <x14:dxf>
              <fill>
                <patternFill>
                  <bgColor theme="1" tint="0.499984740745262"/>
                </patternFill>
              </fill>
            </x14:dxf>
          </x14:cfRule>
          <x14:cfRule type="expression" priority="19186" stopIfTrue="1" id="{0BF81C28-2FE1-441C-83A7-E7AA41900C95}">
            <xm:f>AND(IF(H91='Plan de Accion 2018'!X132,H91&lt;&gt;"N/A"))</xm:f>
            <x14:dxf>
              <fill>
                <patternFill>
                  <bgColor rgb="FF00B050"/>
                </patternFill>
              </fill>
            </x14:dxf>
          </x14:cfRule>
          <x14:cfRule type="expression" priority="19187" stopIfTrue="1" id="{8FD98739-80B4-4CC7-874C-B40225B82C6A}">
            <xm:f>AND(IF(H91&lt;'Plan de Accion 2018'!X132,H91&lt;&gt;"N/A"))</xm:f>
            <x14:dxf>
              <fill>
                <patternFill>
                  <bgColor indexed="10"/>
                </patternFill>
              </fill>
            </x14:dxf>
          </x14:cfRule>
          <xm:sqref>H94 H91</xm:sqref>
        </x14:conditionalFormatting>
        <x14:conditionalFormatting xmlns:xm="http://schemas.microsoft.com/office/excel/2006/main">
          <x14:cfRule type="expression" priority="19179" id="{0E3DE2B6-62E7-4210-A3B8-58B420B5CAC2}">
            <xm:f>AND(IF(H95&gt;'Plan de Accion 2018'!X139,H95&lt;&gt;¨N/A¨))</xm:f>
            <x14:dxf>
              <fill>
                <patternFill>
                  <bgColor theme="1" tint="0.499984740745262"/>
                </patternFill>
              </fill>
            </x14:dxf>
          </x14:cfRule>
          <x14:cfRule type="expression" priority="19180" stopIfTrue="1" id="{2DD90422-6F43-475B-9E0C-BF9D0DB7D5F6}">
            <xm:f>AND(IF(H95='Plan de Accion 2018'!X139,H95&lt;&gt;"N/A"))</xm:f>
            <x14:dxf>
              <fill>
                <patternFill>
                  <bgColor rgb="FF00B050"/>
                </patternFill>
              </fill>
            </x14:dxf>
          </x14:cfRule>
          <x14:cfRule type="expression" priority="19181" stopIfTrue="1" id="{043AAF05-0FA7-485D-A836-D329BF1A7CDD}">
            <xm:f>AND(IF(H95&lt;'Plan de Accion 2018'!X139,H95&lt;&gt;"N/A"))</xm:f>
            <x14:dxf>
              <fill>
                <patternFill>
                  <bgColor indexed="10"/>
                </patternFill>
              </fill>
            </x14:dxf>
          </x14:cfRule>
          <xm:sqref>H95</xm:sqref>
        </x14:conditionalFormatting>
        <x14:conditionalFormatting xmlns:xm="http://schemas.microsoft.com/office/excel/2006/main">
          <x14:cfRule type="expression" priority="19176" id="{12C2E3D7-C6FA-4210-81BC-19D216CF026F}">
            <xm:f>AND(IF(H96&gt;'Plan de Accion 2018'!X154,H96&lt;&gt;¨N/A¨))</xm:f>
            <x14:dxf>
              <fill>
                <patternFill>
                  <bgColor theme="1" tint="0.499984740745262"/>
                </patternFill>
              </fill>
            </x14:dxf>
          </x14:cfRule>
          <x14:cfRule type="expression" priority="19177" stopIfTrue="1" id="{2948012B-8141-4037-AD13-B1E36B6D1A83}">
            <xm:f>AND(IF(H96='Plan de Accion 2018'!X154,H96&lt;&gt;"N/A"))</xm:f>
            <x14:dxf>
              <fill>
                <patternFill>
                  <bgColor rgb="FF00B050"/>
                </patternFill>
              </fill>
            </x14:dxf>
          </x14:cfRule>
          <x14:cfRule type="expression" priority="19178" stopIfTrue="1" id="{71594613-5C31-40DB-AE1C-6746266C05EC}">
            <xm:f>AND(IF(H96&lt;'Plan de Accion 2018'!X154,H96&lt;&gt;"N/A"))</xm:f>
            <x14:dxf>
              <fill>
                <patternFill>
                  <bgColor indexed="10"/>
                </patternFill>
              </fill>
            </x14:dxf>
          </x14:cfRule>
          <xm:sqref>H96</xm:sqref>
        </x14:conditionalFormatting>
        <x14:conditionalFormatting xmlns:xm="http://schemas.microsoft.com/office/excel/2006/main">
          <x14:cfRule type="expression" priority="19173" id="{A32D7933-0464-4EC4-9099-C17E1F1495B2}">
            <xm:f>AND(IF(H35&gt;'Plan de Accion 2018'!X9,H35&lt;&gt;¨N/A¨))</xm:f>
            <x14:dxf>
              <fill>
                <patternFill>
                  <bgColor theme="1" tint="0.499984740745262"/>
                </patternFill>
              </fill>
            </x14:dxf>
          </x14:cfRule>
          <x14:cfRule type="expression" priority="19174" stopIfTrue="1" id="{03B12C24-5A63-4D21-AEF2-1CA8E641C58E}">
            <xm:f>AND(IF(H35='Plan de Accion 2018'!X9,H35&lt;&gt;"N/A"))</xm:f>
            <x14:dxf>
              <fill>
                <patternFill>
                  <bgColor rgb="FF00B050"/>
                </patternFill>
              </fill>
            </x14:dxf>
          </x14:cfRule>
          <x14:cfRule type="expression" priority="19175" stopIfTrue="1" id="{77EDED19-638B-4823-9F72-D0B66336C4B0}">
            <xm:f>AND(IF(H35&lt;'Plan de Accion 2018'!X9,H35&lt;&gt;"N/A"))</xm:f>
            <x14:dxf>
              <fill>
                <patternFill>
                  <bgColor indexed="10"/>
                </patternFill>
              </fill>
            </x14:dxf>
          </x14:cfRule>
          <xm:sqref>H163 H35</xm:sqref>
        </x14:conditionalFormatting>
        <x14:conditionalFormatting xmlns:xm="http://schemas.microsoft.com/office/excel/2006/main">
          <x14:cfRule type="expression" priority="19170" id="{454929CB-B2BE-4B82-8D51-7FFADC28FE7B}">
            <xm:f>AND(IF(H175&gt;'Plan de Accion 2018'!X122,H175&lt;&gt;¨N/A¨))</xm:f>
            <x14:dxf>
              <fill>
                <patternFill>
                  <bgColor theme="1" tint="0.499984740745262"/>
                </patternFill>
              </fill>
            </x14:dxf>
          </x14:cfRule>
          <x14:cfRule type="expression" priority="19171" stopIfTrue="1" id="{BF072DE8-3409-4472-9505-577D90055B9D}">
            <xm:f>AND(IF(H175='Plan de Accion 2018'!X122,H175&lt;&gt;"N/A"))</xm:f>
            <x14:dxf>
              <fill>
                <patternFill>
                  <bgColor rgb="FF00B050"/>
                </patternFill>
              </fill>
            </x14:dxf>
          </x14:cfRule>
          <x14:cfRule type="expression" priority="19172" stopIfTrue="1" id="{95D317B6-7C36-4C81-8309-8AC8F818E60E}">
            <xm:f>AND(IF(H175&lt;'Plan de Accion 2018'!X122,H175&lt;&gt;"N/A"))</xm:f>
            <x14:dxf>
              <fill>
                <patternFill>
                  <bgColor indexed="10"/>
                </patternFill>
              </fill>
            </x14:dxf>
          </x14:cfRule>
          <xm:sqref>H175</xm:sqref>
        </x14:conditionalFormatting>
        <x14:conditionalFormatting xmlns:xm="http://schemas.microsoft.com/office/excel/2006/main">
          <x14:cfRule type="expression" priority="19167" id="{1A5E750C-22FD-4E18-848F-E03322CB1825}">
            <xm:f>AND(IF(H101&gt;'Plan de Accion 2018'!X53,H101&lt;&gt;¨N/A¨))</xm:f>
            <x14:dxf>
              <fill>
                <patternFill>
                  <bgColor theme="1" tint="0.499984740745262"/>
                </patternFill>
              </fill>
            </x14:dxf>
          </x14:cfRule>
          <x14:cfRule type="expression" priority="19168" stopIfTrue="1" id="{74E6BF35-B43C-478D-BFF7-674776C8FCB0}">
            <xm:f>AND(IF(H101='Plan de Accion 2018'!X53,H101&lt;&gt;"N/A"))</xm:f>
            <x14:dxf>
              <fill>
                <patternFill>
                  <bgColor rgb="FF00B050"/>
                </patternFill>
              </fill>
            </x14:dxf>
          </x14:cfRule>
          <x14:cfRule type="expression" priority="19169" stopIfTrue="1" id="{FAF7DCED-A3CC-4468-8FD3-D00F5581BA68}">
            <xm:f>AND(IF(H101&lt;'Plan de Accion 2018'!X53,H101&lt;&gt;"N/A"))</xm:f>
            <x14:dxf>
              <fill>
                <patternFill>
                  <bgColor indexed="10"/>
                </patternFill>
              </fill>
            </x14:dxf>
          </x14:cfRule>
          <xm:sqref>H101</xm:sqref>
        </x14:conditionalFormatting>
        <x14:conditionalFormatting xmlns:xm="http://schemas.microsoft.com/office/excel/2006/main">
          <x14:cfRule type="expression" priority="19161" id="{FDA5AB1A-DB98-41C2-87E0-8D72C86634AF}">
            <xm:f>AND(IF(H104&gt;'Plan de Accion 2018'!X68,H104&lt;&gt;¨N/A¨))</xm:f>
            <x14:dxf>
              <fill>
                <patternFill>
                  <bgColor theme="1" tint="0.499984740745262"/>
                </patternFill>
              </fill>
            </x14:dxf>
          </x14:cfRule>
          <x14:cfRule type="expression" priority="19162" stopIfTrue="1" id="{0A8C9F66-D696-47A0-A91D-2F189DF17606}">
            <xm:f>AND(IF(H104='Plan de Accion 2018'!X68,H104&lt;&gt;"N/A"))</xm:f>
            <x14:dxf>
              <fill>
                <patternFill>
                  <bgColor rgb="FF00B050"/>
                </patternFill>
              </fill>
            </x14:dxf>
          </x14:cfRule>
          <x14:cfRule type="expression" priority="19163" stopIfTrue="1" id="{3CC12296-6133-4121-9663-3F2BBF4DE5D2}">
            <xm:f>AND(IF(H104&lt;'Plan de Accion 2018'!X68,H104&lt;&gt;"N/A"))</xm:f>
            <x14:dxf>
              <fill>
                <patternFill>
                  <bgColor indexed="10"/>
                </patternFill>
              </fill>
            </x14:dxf>
          </x14:cfRule>
          <xm:sqref>H176 H104:H105</xm:sqref>
        </x14:conditionalFormatting>
        <x14:conditionalFormatting xmlns:xm="http://schemas.microsoft.com/office/excel/2006/main">
          <x14:cfRule type="expression" priority="19149" id="{C44AAC9D-FF98-4E6C-873C-3E29EC3C221F}">
            <xm:f>AND(IF(H108&gt;'Plan de Accion 2018'!X95,H108&lt;&gt;¨N/A¨))</xm:f>
            <x14:dxf>
              <fill>
                <patternFill>
                  <bgColor theme="1" tint="0.499984740745262"/>
                </patternFill>
              </fill>
            </x14:dxf>
          </x14:cfRule>
          <x14:cfRule type="expression" priority="19150" stopIfTrue="1" id="{CD10EA79-D51B-4F1F-95CD-B72779BF622D}">
            <xm:f>AND(IF(H108='Plan de Accion 2018'!X95,H108&lt;&gt;"N/A"))</xm:f>
            <x14:dxf>
              <fill>
                <patternFill>
                  <bgColor rgb="FF00B050"/>
                </patternFill>
              </fill>
            </x14:dxf>
          </x14:cfRule>
          <x14:cfRule type="expression" priority="19151" stopIfTrue="1" id="{B76B44CE-3AEF-48EF-AD28-F39A6893B2DA}">
            <xm:f>AND(IF(H108&lt;'Plan de Accion 2018'!X95,H108&lt;&gt;"N/A"))</xm:f>
            <x14:dxf>
              <fill>
                <patternFill>
                  <bgColor indexed="10"/>
                </patternFill>
              </fill>
            </x14:dxf>
          </x14:cfRule>
          <xm:sqref>H108:H111</xm:sqref>
        </x14:conditionalFormatting>
        <x14:conditionalFormatting xmlns:xm="http://schemas.microsoft.com/office/excel/2006/main">
          <x14:cfRule type="expression" priority="19137" id="{3677E030-971B-4EB5-9249-DD78ECB0C2C9}">
            <xm:f>AND(IF(H112&gt;'Plan de Accion 2018'!X107,H112&lt;&gt;¨N/A¨))</xm:f>
            <x14:dxf>
              <fill>
                <patternFill>
                  <bgColor theme="1" tint="0.499984740745262"/>
                </patternFill>
              </fill>
            </x14:dxf>
          </x14:cfRule>
          <x14:cfRule type="expression" priority="19138" stopIfTrue="1" id="{23294E12-C57C-4EF7-BA1C-9721281A7C37}">
            <xm:f>AND(IF(H112='Plan de Accion 2018'!X107,H112&lt;&gt;"N/A"))</xm:f>
            <x14:dxf>
              <fill>
                <patternFill>
                  <bgColor rgb="FF00B050"/>
                </patternFill>
              </fill>
            </x14:dxf>
          </x14:cfRule>
          <x14:cfRule type="expression" priority="19139" stopIfTrue="1" id="{95985CD9-9707-4D6D-A718-A455A16E9E36}">
            <xm:f>AND(IF(H112&lt;'Plan de Accion 2018'!X107,H112&lt;&gt;"N/A"))</xm:f>
            <x14:dxf>
              <fill>
                <patternFill>
                  <bgColor indexed="10"/>
                </patternFill>
              </fill>
            </x14:dxf>
          </x14:cfRule>
          <xm:sqref>H112</xm:sqref>
        </x14:conditionalFormatting>
        <x14:conditionalFormatting xmlns:xm="http://schemas.microsoft.com/office/excel/2006/main">
          <x14:cfRule type="expression" priority="19122" id="{B38DEB0D-32B3-47DF-AB7E-507770066A93}">
            <xm:f>AND(IF(H117&gt;'Plan de Accion 2018'!X119,H117&lt;&gt;¨N/A¨))</xm:f>
            <x14:dxf>
              <fill>
                <patternFill>
                  <bgColor theme="1" tint="0.499984740745262"/>
                </patternFill>
              </fill>
            </x14:dxf>
          </x14:cfRule>
          <x14:cfRule type="expression" priority="19123" stopIfTrue="1" id="{6959E61F-63EA-40F2-B24D-60F2DCBD0ABB}">
            <xm:f>AND(IF(H117='Plan de Accion 2018'!X119,H117&lt;&gt;"N/A"))</xm:f>
            <x14:dxf>
              <fill>
                <patternFill>
                  <bgColor rgb="FF00B050"/>
                </patternFill>
              </fill>
            </x14:dxf>
          </x14:cfRule>
          <x14:cfRule type="expression" priority="19124" stopIfTrue="1" id="{33610E02-7E6A-4B48-8812-943F54E97476}">
            <xm:f>AND(IF(H117&lt;'Plan de Accion 2018'!X119,H117&lt;&gt;"N/A"))</xm:f>
            <x14:dxf>
              <fill>
                <patternFill>
                  <bgColor indexed="10"/>
                </patternFill>
              </fill>
            </x14:dxf>
          </x14:cfRule>
          <xm:sqref>H117:H120</xm:sqref>
        </x14:conditionalFormatting>
        <x14:conditionalFormatting xmlns:xm="http://schemas.microsoft.com/office/excel/2006/main">
          <x14:cfRule type="expression" priority="19119" id="{73AD3A19-2F5E-4D90-BF83-25A455BE3826}">
            <xm:f>AND(IF(H121&gt;'Plan de Accion 2018'!X141,H121&lt;&gt;¨N/A¨))</xm:f>
            <x14:dxf>
              <fill>
                <patternFill>
                  <bgColor theme="1" tint="0.499984740745262"/>
                </patternFill>
              </fill>
            </x14:dxf>
          </x14:cfRule>
          <x14:cfRule type="expression" priority="19120" stopIfTrue="1" id="{120079CE-B71E-43F3-B249-7831C404E096}">
            <xm:f>AND(IF(H121='Plan de Accion 2018'!X141,H121&lt;&gt;"N/A"))</xm:f>
            <x14:dxf>
              <fill>
                <patternFill>
                  <bgColor rgb="FF00B050"/>
                </patternFill>
              </fill>
            </x14:dxf>
          </x14:cfRule>
          <x14:cfRule type="expression" priority="19121" stopIfTrue="1" id="{15B833EE-8136-4193-B43E-A299A6990AE5}">
            <xm:f>AND(IF(H121&lt;'Plan de Accion 2018'!X141,H121&lt;&gt;"N/A"))</xm:f>
            <x14:dxf>
              <fill>
                <patternFill>
                  <bgColor indexed="10"/>
                </patternFill>
              </fill>
            </x14:dxf>
          </x14:cfRule>
          <xm:sqref>H121</xm:sqref>
        </x14:conditionalFormatting>
        <x14:conditionalFormatting xmlns:xm="http://schemas.microsoft.com/office/excel/2006/main">
          <x14:cfRule type="expression" priority="19116" id="{3C70F423-D9CF-4FC8-B4FC-F6800DF866ED}">
            <xm:f>AND(IF(H122&gt;'Plan de Accion 2018'!X143,H122&lt;&gt;¨N/A¨))</xm:f>
            <x14:dxf>
              <fill>
                <patternFill>
                  <bgColor theme="1" tint="0.499984740745262"/>
                </patternFill>
              </fill>
            </x14:dxf>
          </x14:cfRule>
          <x14:cfRule type="expression" priority="19117" stopIfTrue="1" id="{46DE1846-4301-49E0-9FD0-3E45119E5A5A}">
            <xm:f>AND(IF(H122='Plan de Accion 2018'!X143,H122&lt;&gt;"N/A"))</xm:f>
            <x14:dxf>
              <fill>
                <patternFill>
                  <bgColor rgb="FF00B050"/>
                </patternFill>
              </fill>
            </x14:dxf>
          </x14:cfRule>
          <x14:cfRule type="expression" priority="19118" stopIfTrue="1" id="{1AA29CD8-6A7D-4C01-A020-9A1E4E1701E1}">
            <xm:f>AND(IF(H122&lt;'Plan de Accion 2018'!X143,H122&lt;&gt;"N/A"))</xm:f>
            <x14:dxf>
              <fill>
                <patternFill>
                  <bgColor indexed="10"/>
                </patternFill>
              </fill>
            </x14:dxf>
          </x14:cfRule>
          <xm:sqref>H122</xm:sqref>
        </x14:conditionalFormatting>
        <x14:conditionalFormatting xmlns:xm="http://schemas.microsoft.com/office/excel/2006/main">
          <x14:cfRule type="expression" priority="19113" id="{3F097174-46F5-49A9-9A2F-56D977F79B80}">
            <xm:f>AND(IF(H200&gt;'Plan de Accion 2018'!X120,H200&lt;&gt;¨N/A¨))</xm:f>
            <x14:dxf>
              <fill>
                <patternFill>
                  <bgColor theme="1" tint="0.499984740745262"/>
                </patternFill>
              </fill>
            </x14:dxf>
          </x14:cfRule>
          <x14:cfRule type="expression" priority="19114" stopIfTrue="1" id="{6AB1EBAD-47AB-46EF-BFC9-023E4C249536}">
            <xm:f>AND(IF(H200='Plan de Accion 2018'!X120,H200&lt;&gt;"N/A"))</xm:f>
            <x14:dxf>
              <fill>
                <patternFill>
                  <bgColor rgb="FF00B050"/>
                </patternFill>
              </fill>
            </x14:dxf>
          </x14:cfRule>
          <x14:cfRule type="expression" priority="19115" stopIfTrue="1" id="{7537C9B6-6D2B-493F-A2DA-15B8B27AEF45}">
            <xm:f>AND(IF(H200&lt;'Plan de Accion 2018'!X120,H200&lt;&gt;"N/A"))</xm:f>
            <x14:dxf>
              <fill>
                <patternFill>
                  <bgColor indexed="10"/>
                </patternFill>
              </fill>
            </x14:dxf>
          </x14:cfRule>
          <xm:sqref>H215:H216 H200</xm:sqref>
        </x14:conditionalFormatting>
        <x14:conditionalFormatting xmlns:xm="http://schemas.microsoft.com/office/excel/2006/main">
          <x14:cfRule type="expression" priority="19068" id="{4D6E92C3-FAEC-4F5B-A7CC-E9D57E944A81}">
            <xm:f>AND(IF(H139&gt;'Plan de Accion 2018'!X67,H139&lt;&gt;¨N/A¨))</xm:f>
            <x14:dxf>
              <fill>
                <patternFill>
                  <bgColor theme="1" tint="0.499984740745262"/>
                </patternFill>
              </fill>
            </x14:dxf>
          </x14:cfRule>
          <x14:cfRule type="expression" priority="19069" stopIfTrue="1" id="{F9008D7D-1A1B-4972-AC8A-90D7E21DB4B4}">
            <xm:f>AND(IF(H139='Plan de Accion 2018'!X67,H139&lt;&gt;"N/A"))</xm:f>
            <x14:dxf>
              <fill>
                <patternFill>
                  <bgColor rgb="FF00B050"/>
                </patternFill>
              </fill>
            </x14:dxf>
          </x14:cfRule>
          <x14:cfRule type="expression" priority="19070" stopIfTrue="1" id="{4432B4DF-4E83-4ED9-84EC-CD27FF43F902}">
            <xm:f>AND(IF(H139&lt;'Plan de Accion 2018'!X67,H139&lt;&gt;"N/A"))</xm:f>
            <x14:dxf>
              <fill>
                <patternFill>
                  <bgColor indexed="10"/>
                </patternFill>
              </fill>
            </x14:dxf>
          </x14:cfRule>
          <xm:sqref>H139:H142</xm:sqref>
        </x14:conditionalFormatting>
        <x14:conditionalFormatting xmlns:xm="http://schemas.microsoft.com/office/excel/2006/main">
          <x14:cfRule type="expression" priority="19059" id="{A47C21AC-0A78-4B79-B1F2-2F82C289B401}">
            <xm:f>AND(IF(H143&gt;'Plan de Accion 2018'!X72,H143&lt;&gt;¨N/A¨))</xm:f>
            <x14:dxf>
              <fill>
                <patternFill>
                  <bgColor theme="1" tint="0.499984740745262"/>
                </patternFill>
              </fill>
            </x14:dxf>
          </x14:cfRule>
          <x14:cfRule type="expression" priority="19060" stopIfTrue="1" id="{4E405A1B-8190-4B03-99A0-3FF87157296E}">
            <xm:f>AND(IF(H143='Plan de Accion 2018'!X72,H143&lt;&gt;"N/A"))</xm:f>
            <x14:dxf>
              <fill>
                <patternFill>
                  <bgColor rgb="FF00B050"/>
                </patternFill>
              </fill>
            </x14:dxf>
          </x14:cfRule>
          <x14:cfRule type="expression" priority="19061" stopIfTrue="1" id="{A3C20451-2FAA-47AB-B823-74EA3422874D}">
            <xm:f>AND(IF(H143&lt;'Plan de Accion 2018'!X72,H143&lt;&gt;"N/A"))</xm:f>
            <x14:dxf>
              <fill>
                <patternFill>
                  <bgColor indexed="10"/>
                </patternFill>
              </fill>
            </x14:dxf>
          </x14:cfRule>
          <xm:sqref>H143</xm:sqref>
        </x14:conditionalFormatting>
        <x14:conditionalFormatting xmlns:xm="http://schemas.microsoft.com/office/excel/2006/main">
          <x14:cfRule type="expression" priority="19056" id="{30CBA7BA-C3A4-4791-8F74-86392163C544}">
            <xm:f>AND(IF(H144&gt;'Plan de Accion 2018'!X74,H144&lt;&gt;¨N/A¨))</xm:f>
            <x14:dxf>
              <fill>
                <patternFill>
                  <bgColor theme="1" tint="0.499984740745262"/>
                </patternFill>
              </fill>
            </x14:dxf>
          </x14:cfRule>
          <x14:cfRule type="expression" priority="19057" stopIfTrue="1" id="{C1D07DDF-37CB-43DE-AB27-9FE6D35F4511}">
            <xm:f>AND(IF(H144='Plan de Accion 2018'!X74,H144&lt;&gt;"N/A"))</xm:f>
            <x14:dxf>
              <fill>
                <patternFill>
                  <bgColor rgb="FF00B050"/>
                </patternFill>
              </fill>
            </x14:dxf>
          </x14:cfRule>
          <x14:cfRule type="expression" priority="19058" stopIfTrue="1" id="{1F9EF473-A91D-4A67-BDC3-D58BAFECCA43}">
            <xm:f>AND(IF(H144&lt;'Plan de Accion 2018'!X74,H144&lt;&gt;"N/A"))</xm:f>
            <x14:dxf>
              <fill>
                <patternFill>
                  <bgColor indexed="10"/>
                </patternFill>
              </fill>
            </x14:dxf>
          </x14:cfRule>
          <xm:sqref>H144:H145</xm:sqref>
        </x14:conditionalFormatting>
        <x14:conditionalFormatting xmlns:xm="http://schemas.microsoft.com/office/excel/2006/main">
          <x14:cfRule type="expression" priority="19050" id="{7112DD04-9DCF-4700-9657-8535BBD94AA4}">
            <xm:f>AND(IF(H147&gt;'Plan de Accion 2018'!X36,H147&lt;&gt;¨N/A¨))</xm:f>
            <x14:dxf>
              <fill>
                <patternFill>
                  <bgColor theme="1" tint="0.499984740745262"/>
                </patternFill>
              </fill>
            </x14:dxf>
          </x14:cfRule>
          <x14:cfRule type="expression" priority="19051" stopIfTrue="1" id="{2AC3BB29-73C9-43C8-B58C-FDE1DB7F2CBF}">
            <xm:f>AND(IF(H147='Plan de Accion 2018'!X36,H147&lt;&gt;"N/A"))</xm:f>
            <x14:dxf>
              <fill>
                <patternFill>
                  <bgColor rgb="FF00B050"/>
                </patternFill>
              </fill>
            </x14:dxf>
          </x14:cfRule>
          <x14:cfRule type="expression" priority="19052" stopIfTrue="1" id="{17E998D6-26B5-48B0-9BD3-4654C7FE7CA5}">
            <xm:f>AND(IF(H147&lt;'Plan de Accion 2018'!X36,H147&lt;&gt;"N/A"))</xm:f>
            <x14:dxf>
              <fill>
                <patternFill>
                  <bgColor indexed="10"/>
                </patternFill>
              </fill>
            </x14:dxf>
          </x14:cfRule>
          <xm:sqref>H147:H154</xm:sqref>
        </x14:conditionalFormatting>
        <x14:conditionalFormatting xmlns:xm="http://schemas.microsoft.com/office/excel/2006/main">
          <x14:cfRule type="expression" priority="19002" id="{B029685C-622F-435A-B586-41E1BC6EF941}">
            <xm:f>AND(IF(H164&gt;'Plan de Accion 2018'!X139,H164&lt;&gt;¨N/A¨))</xm:f>
            <x14:dxf>
              <fill>
                <patternFill>
                  <bgColor theme="1" tint="0.499984740745262"/>
                </patternFill>
              </fill>
            </x14:dxf>
          </x14:cfRule>
          <x14:cfRule type="expression" priority="19003" stopIfTrue="1" id="{1A57AFC5-3E6B-466B-AA3F-E5104E18FF84}">
            <xm:f>AND(IF(H164='Plan de Accion 2018'!X139,H164&lt;&gt;"N/A"))</xm:f>
            <x14:dxf>
              <fill>
                <patternFill>
                  <bgColor rgb="FF00B050"/>
                </patternFill>
              </fill>
            </x14:dxf>
          </x14:cfRule>
          <x14:cfRule type="expression" priority="19004" stopIfTrue="1" id="{68C851E9-1731-4498-996C-272A7D22BFAB}">
            <xm:f>AND(IF(H164&lt;'Plan de Accion 2018'!X139,H164&lt;&gt;"N/A"))</xm:f>
            <x14:dxf>
              <fill>
                <patternFill>
                  <bgColor indexed="10"/>
                </patternFill>
              </fill>
            </x14:dxf>
          </x14:cfRule>
          <xm:sqref>H164</xm:sqref>
        </x14:conditionalFormatting>
        <x14:conditionalFormatting xmlns:xm="http://schemas.microsoft.com/office/excel/2006/main">
          <x14:cfRule type="expression" priority="18999" id="{198CFA15-456B-402B-957E-336E4FCAE566}">
            <xm:f>AND(IF(H165&gt;'Plan de Accion 2018'!X146,H165&lt;&gt;¨N/A¨))</xm:f>
            <x14:dxf>
              <fill>
                <patternFill>
                  <bgColor theme="1" tint="0.499984740745262"/>
                </patternFill>
              </fill>
            </x14:dxf>
          </x14:cfRule>
          <x14:cfRule type="expression" priority="19000" stopIfTrue="1" id="{08BF8517-64CB-47CE-859A-15218208A6D4}">
            <xm:f>AND(IF(H165='Plan de Accion 2018'!X146,H165&lt;&gt;"N/A"))</xm:f>
            <x14:dxf>
              <fill>
                <patternFill>
                  <bgColor rgb="FF00B050"/>
                </patternFill>
              </fill>
            </x14:dxf>
          </x14:cfRule>
          <x14:cfRule type="expression" priority="19001" stopIfTrue="1" id="{3315B617-F03F-4F4B-B8FA-E23BB2B7E8FD}">
            <xm:f>AND(IF(H165&lt;'Plan de Accion 2018'!X146,H165&lt;&gt;"N/A"))</xm:f>
            <x14:dxf>
              <fill>
                <patternFill>
                  <bgColor indexed="10"/>
                </patternFill>
              </fill>
            </x14:dxf>
          </x14:cfRule>
          <xm:sqref>H165</xm:sqref>
        </x14:conditionalFormatting>
        <x14:conditionalFormatting xmlns:xm="http://schemas.microsoft.com/office/excel/2006/main">
          <x14:cfRule type="expression" priority="18996" id="{1D929EC8-F9DF-49AF-9C13-9A5E16DFD238}">
            <xm:f>AND(IF(H166&gt;'Plan de Accion 2018'!X148,H166&lt;&gt;¨N/A¨))</xm:f>
            <x14:dxf>
              <fill>
                <patternFill>
                  <bgColor theme="1" tint="0.499984740745262"/>
                </patternFill>
              </fill>
            </x14:dxf>
          </x14:cfRule>
          <x14:cfRule type="expression" priority="18997" stopIfTrue="1" id="{182BC988-84B7-455E-B687-E26B6540210A}">
            <xm:f>AND(IF(H166='Plan de Accion 2018'!X148,H166&lt;&gt;"N/A"))</xm:f>
            <x14:dxf>
              <fill>
                <patternFill>
                  <bgColor rgb="FF00B050"/>
                </patternFill>
              </fill>
            </x14:dxf>
          </x14:cfRule>
          <x14:cfRule type="expression" priority="18998" stopIfTrue="1" id="{FFE27CDF-D07F-48C5-A518-51586D4CFE6B}">
            <xm:f>AND(IF(H166&lt;'Plan de Accion 2018'!X148,H166&lt;&gt;"N/A"))</xm:f>
            <x14:dxf>
              <fill>
                <patternFill>
                  <bgColor indexed="10"/>
                </patternFill>
              </fill>
            </x14:dxf>
          </x14:cfRule>
          <xm:sqref>H166</xm:sqref>
        </x14:conditionalFormatting>
        <x14:conditionalFormatting xmlns:xm="http://schemas.microsoft.com/office/excel/2006/main">
          <x14:cfRule type="expression" priority="18993" id="{7A463BFC-EAD1-4356-A630-6375A654D3C2}">
            <xm:f>AND(IF(H168&gt;'Plan de Accion 2018'!X8,H168&lt;&gt;¨N/A¨))</xm:f>
            <x14:dxf>
              <fill>
                <patternFill>
                  <bgColor theme="1" tint="0.499984740745262"/>
                </patternFill>
              </fill>
            </x14:dxf>
          </x14:cfRule>
          <x14:cfRule type="expression" priority="18994" stopIfTrue="1" id="{0642DF62-FA69-4129-AACA-FB565F841B36}">
            <xm:f>AND(IF(H168='Plan de Accion 2018'!X8,H168&lt;&gt;"N/A"))</xm:f>
            <x14:dxf>
              <fill>
                <patternFill>
                  <bgColor rgb="FF00B050"/>
                </patternFill>
              </fill>
            </x14:dxf>
          </x14:cfRule>
          <x14:cfRule type="expression" priority="18995" stopIfTrue="1" id="{1126386E-685D-4659-A9D8-242AAB13D0C3}">
            <xm:f>AND(IF(H168&lt;'Plan de Accion 2018'!X8,H168&lt;&gt;"N/A"))</xm:f>
            <x14:dxf>
              <fill>
                <patternFill>
                  <bgColor indexed="10"/>
                </patternFill>
              </fill>
            </x14:dxf>
          </x14:cfRule>
          <xm:sqref>H168</xm:sqref>
        </x14:conditionalFormatting>
        <x14:conditionalFormatting xmlns:xm="http://schemas.microsoft.com/office/excel/2006/main">
          <x14:cfRule type="expression" priority="18990" id="{A280658F-F114-4A26-AB95-F6BFACC92386}">
            <xm:f>AND(IF(H169&gt;'Plan de Accion 2018'!X12,H169&lt;&gt;¨N/A¨))</xm:f>
            <x14:dxf>
              <fill>
                <patternFill>
                  <bgColor theme="1" tint="0.499984740745262"/>
                </patternFill>
              </fill>
            </x14:dxf>
          </x14:cfRule>
          <x14:cfRule type="expression" priority="18991" stopIfTrue="1" id="{4BC7C8AD-F128-42C7-9CA2-244047812D66}">
            <xm:f>AND(IF(H169='Plan de Accion 2018'!X12,H169&lt;&gt;"N/A"))</xm:f>
            <x14:dxf>
              <fill>
                <patternFill>
                  <bgColor rgb="FF00B050"/>
                </patternFill>
              </fill>
            </x14:dxf>
          </x14:cfRule>
          <x14:cfRule type="expression" priority="18992" stopIfTrue="1" id="{1C256845-CACA-4D46-B992-69485733D6EB}">
            <xm:f>AND(IF(H169&lt;'Plan de Accion 2018'!X12,H169&lt;&gt;"N/A"))</xm:f>
            <x14:dxf>
              <fill>
                <patternFill>
                  <bgColor indexed="10"/>
                </patternFill>
              </fill>
            </x14:dxf>
          </x14:cfRule>
          <xm:sqref>H169</xm:sqref>
        </x14:conditionalFormatting>
        <x14:conditionalFormatting xmlns:xm="http://schemas.microsoft.com/office/excel/2006/main">
          <x14:cfRule type="expression" priority="18987" id="{4934C3D5-C484-4DE7-9A01-9306A8F2B71F}">
            <xm:f>AND(IF(H170&gt;'Plan de Accion 2018'!X45,H170&lt;&gt;¨N/A¨))</xm:f>
            <x14:dxf>
              <fill>
                <patternFill>
                  <bgColor theme="1" tint="0.499984740745262"/>
                </patternFill>
              </fill>
            </x14:dxf>
          </x14:cfRule>
          <x14:cfRule type="expression" priority="18988" stopIfTrue="1" id="{7CAC8ABC-7131-4AC2-A39A-773EBE645EE7}">
            <xm:f>AND(IF(H170='Plan de Accion 2018'!X45,H170&lt;&gt;"N/A"))</xm:f>
            <x14:dxf>
              <fill>
                <patternFill>
                  <bgColor rgb="FF00B050"/>
                </patternFill>
              </fill>
            </x14:dxf>
          </x14:cfRule>
          <x14:cfRule type="expression" priority="18989" stopIfTrue="1" id="{846CD198-E04F-4FE7-968A-90233F88EC9E}">
            <xm:f>AND(IF(H170&lt;'Plan de Accion 2018'!X45,H170&lt;&gt;"N/A"))</xm:f>
            <x14:dxf>
              <fill>
                <patternFill>
                  <bgColor indexed="10"/>
                </patternFill>
              </fill>
            </x14:dxf>
          </x14:cfRule>
          <xm:sqref>H170 H208:H209</xm:sqref>
        </x14:conditionalFormatting>
        <x14:conditionalFormatting xmlns:xm="http://schemas.microsoft.com/office/excel/2006/main">
          <x14:cfRule type="expression" priority="18984" id="{89C6EAC4-CF03-499D-9B3A-06491B65196B}">
            <xm:f>AND(IF(H171&gt;'Plan de Accion 2018'!X64,H171&lt;&gt;¨N/A¨))</xm:f>
            <x14:dxf>
              <fill>
                <patternFill>
                  <bgColor theme="1" tint="0.499984740745262"/>
                </patternFill>
              </fill>
            </x14:dxf>
          </x14:cfRule>
          <x14:cfRule type="expression" priority="18985" stopIfTrue="1" id="{53296D92-3942-4674-AD25-8764EB63CDE7}">
            <xm:f>AND(IF(H171='Plan de Accion 2018'!X64,H171&lt;&gt;"N/A"))</xm:f>
            <x14:dxf>
              <fill>
                <patternFill>
                  <bgColor rgb="FF00B050"/>
                </patternFill>
              </fill>
            </x14:dxf>
          </x14:cfRule>
          <x14:cfRule type="expression" priority="18986" stopIfTrue="1" id="{514C06CF-66E1-4705-8C2A-F5C6FE8B88B8}">
            <xm:f>AND(IF(H171&lt;'Plan de Accion 2018'!X64,H171&lt;&gt;"N/A"))</xm:f>
            <x14:dxf>
              <fill>
                <patternFill>
                  <bgColor indexed="10"/>
                </patternFill>
              </fill>
            </x14:dxf>
          </x14:cfRule>
          <xm:sqref>H171</xm:sqref>
        </x14:conditionalFormatting>
        <x14:conditionalFormatting xmlns:xm="http://schemas.microsoft.com/office/excel/2006/main">
          <x14:cfRule type="expression" priority="18981" id="{D4FA9E7A-8641-4C82-82EE-162B37F74407}">
            <xm:f>AND(IF(H172&gt;'Plan de Accion 2018'!X76,H172&lt;&gt;¨N/A¨))</xm:f>
            <x14:dxf>
              <fill>
                <patternFill>
                  <bgColor theme="1" tint="0.499984740745262"/>
                </patternFill>
              </fill>
            </x14:dxf>
          </x14:cfRule>
          <x14:cfRule type="expression" priority="18982" stopIfTrue="1" id="{F0107364-4B9E-44FF-BD69-4DD6F319047C}">
            <xm:f>AND(IF(H172='Plan de Accion 2018'!X76,H172&lt;&gt;"N/A"))</xm:f>
            <x14:dxf>
              <fill>
                <patternFill>
                  <bgColor rgb="FF00B050"/>
                </patternFill>
              </fill>
            </x14:dxf>
          </x14:cfRule>
          <x14:cfRule type="expression" priority="18983" stopIfTrue="1" id="{349AF563-3B69-4D0D-8972-4B6DBA695288}">
            <xm:f>AND(IF(H172&lt;'Plan de Accion 2018'!X76,H172&lt;&gt;"N/A"))</xm:f>
            <x14:dxf>
              <fill>
                <patternFill>
                  <bgColor indexed="10"/>
                </patternFill>
              </fill>
            </x14:dxf>
          </x14:cfRule>
          <xm:sqref>H172</xm:sqref>
        </x14:conditionalFormatting>
        <x14:conditionalFormatting xmlns:xm="http://schemas.microsoft.com/office/excel/2006/main">
          <x14:cfRule type="expression" priority="18978" id="{FC4341C7-A7D1-4DF4-BF80-A89D08FBA1E6}">
            <xm:f>AND(IF(H173&gt;'Plan de Accion 2018'!X89,H173&lt;&gt;¨N/A¨))</xm:f>
            <x14:dxf>
              <fill>
                <patternFill>
                  <bgColor theme="1" tint="0.499984740745262"/>
                </patternFill>
              </fill>
            </x14:dxf>
          </x14:cfRule>
          <x14:cfRule type="expression" priority="18979" stopIfTrue="1" id="{B7763D8E-B892-4BB3-A013-4A447BCEEC0F}">
            <xm:f>AND(IF(H173='Plan de Accion 2018'!X89,H173&lt;&gt;"N/A"))</xm:f>
            <x14:dxf>
              <fill>
                <patternFill>
                  <bgColor rgb="FF00B050"/>
                </patternFill>
              </fill>
            </x14:dxf>
          </x14:cfRule>
          <x14:cfRule type="expression" priority="18980" stopIfTrue="1" id="{95FC6BA5-3B0E-46BF-ACA4-1E22F0FE516A}">
            <xm:f>AND(IF(H173&lt;'Plan de Accion 2018'!X89,H173&lt;&gt;"N/A"))</xm:f>
            <x14:dxf>
              <fill>
                <patternFill>
                  <bgColor indexed="10"/>
                </patternFill>
              </fill>
            </x14:dxf>
          </x14:cfRule>
          <xm:sqref>H173</xm:sqref>
        </x14:conditionalFormatting>
        <x14:conditionalFormatting xmlns:xm="http://schemas.microsoft.com/office/excel/2006/main">
          <x14:cfRule type="expression" priority="18975" id="{A48A741E-2335-4636-8D08-7B27C3E4956C}">
            <xm:f>AND(IF(H217&gt;'Plan de Accion 2018'!X154,H217&lt;&gt;¨N/A¨))</xm:f>
            <x14:dxf>
              <fill>
                <patternFill>
                  <bgColor theme="1" tint="0.499984740745262"/>
                </patternFill>
              </fill>
            </x14:dxf>
          </x14:cfRule>
          <x14:cfRule type="expression" priority="18976" stopIfTrue="1" id="{00EE595D-D89E-431F-BE3A-5343A63E1EDB}">
            <xm:f>AND(IF(H217='Plan de Accion 2018'!X154,H217&lt;&gt;"N/A"))</xm:f>
            <x14:dxf>
              <fill>
                <patternFill>
                  <bgColor rgb="FF00B050"/>
                </patternFill>
              </fill>
            </x14:dxf>
          </x14:cfRule>
          <x14:cfRule type="expression" priority="18977" stopIfTrue="1" id="{52C94201-6FC1-4E11-B07B-06A0F9B26529}">
            <xm:f>AND(IF(H217&lt;'Plan de Accion 2018'!X154,H217&lt;&gt;"N/A"))</xm:f>
            <x14:dxf>
              <fill>
                <patternFill>
                  <bgColor indexed="10"/>
                </patternFill>
              </fill>
            </x14:dxf>
          </x14:cfRule>
          <xm:sqref>H217</xm:sqref>
        </x14:conditionalFormatting>
        <x14:conditionalFormatting xmlns:xm="http://schemas.microsoft.com/office/excel/2006/main">
          <x14:cfRule type="expression" priority="18966" id="{1523E02A-3925-41A3-BF96-39A403EB014B}">
            <xm:f>AND(IF(H179&gt;'Plan de Accion 2018'!X13,H179&lt;&gt;¨N/A¨))</xm:f>
            <x14:dxf>
              <fill>
                <patternFill>
                  <bgColor theme="1" tint="0.499984740745262"/>
                </patternFill>
              </fill>
            </x14:dxf>
          </x14:cfRule>
          <x14:cfRule type="expression" priority="18967" stopIfTrue="1" id="{7B1800F9-DF49-4379-A2FC-B91DB3005E14}">
            <xm:f>AND(IF(H179='Plan de Accion 2018'!X13,H179&lt;&gt;"N/A"))</xm:f>
            <x14:dxf>
              <fill>
                <patternFill>
                  <bgColor rgb="FF00B050"/>
                </patternFill>
              </fill>
            </x14:dxf>
          </x14:cfRule>
          <x14:cfRule type="expression" priority="18968" stopIfTrue="1" id="{471274C0-72AA-4AA8-9629-F75AC9BB3108}">
            <xm:f>AND(IF(H179&lt;'Plan de Accion 2018'!X13,H179&lt;&gt;"N/A"))</xm:f>
            <x14:dxf>
              <fill>
                <patternFill>
                  <bgColor indexed="10"/>
                </patternFill>
              </fill>
            </x14:dxf>
          </x14:cfRule>
          <xm:sqref>H179:H180</xm:sqref>
        </x14:conditionalFormatting>
        <x14:conditionalFormatting xmlns:xm="http://schemas.microsoft.com/office/excel/2006/main">
          <x14:cfRule type="expression" priority="18960" id="{857D2DFE-5120-4DA2-BFBD-F094B9746C61}">
            <xm:f>AND(IF(H181&gt;'Plan de Accion 2018'!X46,H181&lt;&gt;¨N/A¨))</xm:f>
            <x14:dxf>
              <fill>
                <patternFill>
                  <bgColor theme="1" tint="0.499984740745262"/>
                </patternFill>
              </fill>
            </x14:dxf>
          </x14:cfRule>
          <x14:cfRule type="expression" priority="18961" stopIfTrue="1" id="{D1215E61-DCE0-41A8-B2C2-63E9F380E1B9}">
            <xm:f>AND(IF(H181='Plan de Accion 2018'!X46,H181&lt;&gt;"N/A"))</xm:f>
            <x14:dxf>
              <fill>
                <patternFill>
                  <bgColor rgb="FF00B050"/>
                </patternFill>
              </fill>
            </x14:dxf>
          </x14:cfRule>
          <x14:cfRule type="expression" priority="18962" stopIfTrue="1" id="{539F6F78-0917-4A71-B585-8A3C938771FA}">
            <xm:f>AND(IF(H181&lt;'Plan de Accion 2018'!X46,H181&lt;&gt;"N/A"))</xm:f>
            <x14:dxf>
              <fill>
                <patternFill>
                  <bgColor indexed="10"/>
                </patternFill>
              </fill>
            </x14:dxf>
          </x14:cfRule>
          <xm:sqref>H181:H182</xm:sqref>
        </x14:conditionalFormatting>
        <x14:conditionalFormatting xmlns:xm="http://schemas.microsoft.com/office/excel/2006/main">
          <x14:cfRule type="expression" priority="18954" id="{0069D929-6632-4C0E-8162-795C48046B7A}">
            <xm:f>AND(IF(H183&gt;'Plan de Accion 2018'!X65,H183&lt;&gt;¨N/A¨))</xm:f>
            <x14:dxf>
              <fill>
                <patternFill>
                  <bgColor theme="1" tint="0.499984740745262"/>
                </patternFill>
              </fill>
            </x14:dxf>
          </x14:cfRule>
          <x14:cfRule type="expression" priority="18955" stopIfTrue="1" id="{CD7B24CE-2B0E-421E-B345-729E2C962CF9}">
            <xm:f>AND(IF(H183='Plan de Accion 2018'!X65,H183&lt;&gt;"N/A"))</xm:f>
            <x14:dxf>
              <fill>
                <patternFill>
                  <bgColor rgb="FF00B050"/>
                </patternFill>
              </fill>
            </x14:dxf>
          </x14:cfRule>
          <x14:cfRule type="expression" priority="18956" stopIfTrue="1" id="{1882F5F0-E435-4220-B4B2-BE8AABB4BFF8}">
            <xm:f>AND(IF(H183&lt;'Plan de Accion 2018'!X65,H183&lt;&gt;"N/A"))</xm:f>
            <x14:dxf>
              <fill>
                <patternFill>
                  <bgColor indexed="10"/>
                </patternFill>
              </fill>
            </x14:dxf>
          </x14:cfRule>
          <xm:sqref>H183:H184</xm:sqref>
        </x14:conditionalFormatting>
        <x14:conditionalFormatting xmlns:xm="http://schemas.microsoft.com/office/excel/2006/main">
          <x14:cfRule type="expression" priority="18948" id="{9023D58E-D9E9-48BC-96CC-9CA824AD6CBE}">
            <xm:f>AND(IF(H185&gt;'Plan de Accion 2018'!X77,H185&lt;&gt;¨N/A¨))</xm:f>
            <x14:dxf>
              <fill>
                <patternFill>
                  <bgColor theme="1" tint="0.499984740745262"/>
                </patternFill>
              </fill>
            </x14:dxf>
          </x14:cfRule>
          <x14:cfRule type="expression" priority="18949" stopIfTrue="1" id="{A02CA597-C0BA-477D-B125-1F776BF6FF03}">
            <xm:f>AND(IF(H185='Plan de Accion 2018'!X77,H185&lt;&gt;"N/A"))</xm:f>
            <x14:dxf>
              <fill>
                <patternFill>
                  <bgColor rgb="FF00B050"/>
                </patternFill>
              </fill>
            </x14:dxf>
          </x14:cfRule>
          <x14:cfRule type="expression" priority="18950" stopIfTrue="1" id="{1549CAF8-AE1D-450A-B6FF-38AE00390A9E}">
            <xm:f>AND(IF(H185&lt;'Plan de Accion 2018'!X77,H185&lt;&gt;"N/A"))</xm:f>
            <x14:dxf>
              <fill>
                <patternFill>
                  <bgColor indexed="10"/>
                </patternFill>
              </fill>
            </x14:dxf>
          </x14:cfRule>
          <xm:sqref>H185:H186</xm:sqref>
        </x14:conditionalFormatting>
        <x14:conditionalFormatting xmlns:xm="http://schemas.microsoft.com/office/excel/2006/main">
          <x14:cfRule type="expression" priority="18942" id="{3466D8F8-582B-4326-84CF-7975E79E6317}">
            <xm:f>AND(IF(H187&gt;'Plan de Accion 2018'!X90,H187&lt;&gt;¨N/A¨))</xm:f>
            <x14:dxf>
              <fill>
                <patternFill>
                  <bgColor theme="1" tint="0.499984740745262"/>
                </patternFill>
              </fill>
            </x14:dxf>
          </x14:cfRule>
          <x14:cfRule type="expression" priority="18943" stopIfTrue="1" id="{3EE2D88A-F1B0-409E-8FCA-4AAA3AF6B837}">
            <xm:f>AND(IF(H187='Plan de Accion 2018'!X90,H187&lt;&gt;"N/A"))</xm:f>
            <x14:dxf>
              <fill>
                <patternFill>
                  <bgColor rgb="FF00B050"/>
                </patternFill>
              </fill>
            </x14:dxf>
          </x14:cfRule>
          <x14:cfRule type="expression" priority="18944" stopIfTrue="1" id="{111DE0D0-3939-4B09-AC41-AAEAABC77CCC}">
            <xm:f>AND(IF(H187&lt;'Plan de Accion 2018'!X90,H187&lt;&gt;"N/A"))</xm:f>
            <x14:dxf>
              <fill>
                <patternFill>
                  <bgColor indexed="10"/>
                </patternFill>
              </fill>
            </x14:dxf>
          </x14:cfRule>
          <xm:sqref>H187:H188</xm:sqref>
        </x14:conditionalFormatting>
        <x14:conditionalFormatting xmlns:xm="http://schemas.microsoft.com/office/excel/2006/main">
          <x14:cfRule type="expression" priority="18936" id="{EFF6030F-C379-4D84-A32E-18B7CB608827}">
            <xm:f>AND(IF(H189&gt;'Plan de Accion 2018'!X99,H189&lt;&gt;¨N/A¨))</xm:f>
            <x14:dxf>
              <fill>
                <patternFill>
                  <bgColor theme="1" tint="0.499984740745262"/>
                </patternFill>
              </fill>
            </x14:dxf>
          </x14:cfRule>
          <x14:cfRule type="expression" priority="18937" stopIfTrue="1" id="{EE2C1EB9-8BC5-4B71-B10B-4849F6385F01}">
            <xm:f>AND(IF(H189='Plan de Accion 2018'!X99,H189&lt;&gt;"N/A"))</xm:f>
            <x14:dxf>
              <fill>
                <patternFill>
                  <bgColor rgb="FF00B050"/>
                </patternFill>
              </fill>
            </x14:dxf>
          </x14:cfRule>
          <x14:cfRule type="expression" priority="18938" stopIfTrue="1" id="{5B2EBBAB-97F0-4837-A2C1-7A05240E41CB}">
            <xm:f>AND(IF(H189&lt;'Plan de Accion 2018'!X99,H189&lt;&gt;"N/A"))</xm:f>
            <x14:dxf>
              <fill>
                <patternFill>
                  <bgColor indexed="10"/>
                </patternFill>
              </fill>
            </x14:dxf>
          </x14:cfRule>
          <xm:sqref>H189:H190</xm:sqref>
        </x14:conditionalFormatting>
        <x14:conditionalFormatting xmlns:xm="http://schemas.microsoft.com/office/excel/2006/main">
          <x14:cfRule type="expression" priority="18930" id="{CADB7F3C-5FD8-46CC-984A-70B39F967A58}">
            <xm:f>AND(IF(H191&gt;'Plan de Accion 2018'!X104,H191&lt;&gt;¨N/A¨))</xm:f>
            <x14:dxf>
              <fill>
                <patternFill>
                  <bgColor theme="1" tint="0.499984740745262"/>
                </patternFill>
              </fill>
            </x14:dxf>
          </x14:cfRule>
          <x14:cfRule type="expression" priority="18931" stopIfTrue="1" id="{F7B03922-E71A-4D5A-B768-BC6CA0C48FA4}">
            <xm:f>AND(IF(H191='Plan de Accion 2018'!X104,H191&lt;&gt;"N/A"))</xm:f>
            <x14:dxf>
              <fill>
                <patternFill>
                  <bgColor rgb="FF00B050"/>
                </patternFill>
              </fill>
            </x14:dxf>
          </x14:cfRule>
          <x14:cfRule type="expression" priority="18932" stopIfTrue="1" id="{8C1C5965-54B7-4691-9575-FA7ACCDC854C}">
            <xm:f>AND(IF(H191&lt;'Plan de Accion 2018'!X104,H191&lt;&gt;"N/A"))</xm:f>
            <x14:dxf>
              <fill>
                <patternFill>
                  <bgColor indexed="10"/>
                </patternFill>
              </fill>
            </x14:dxf>
          </x14:cfRule>
          <xm:sqref>H191</xm:sqref>
        </x14:conditionalFormatting>
        <x14:conditionalFormatting xmlns:xm="http://schemas.microsoft.com/office/excel/2006/main">
          <x14:cfRule type="expression" priority="18927" id="{7E4461A3-2611-4AA9-A66F-B13DE2D47BA5}">
            <xm:f>AND(IF(H192&gt;'Plan de Accion 2018'!X110,H192&lt;&gt;¨N/A¨))</xm:f>
            <x14:dxf>
              <fill>
                <patternFill>
                  <bgColor theme="1" tint="0.499984740745262"/>
                </patternFill>
              </fill>
            </x14:dxf>
          </x14:cfRule>
          <x14:cfRule type="expression" priority="18928" stopIfTrue="1" id="{A3FCA3BA-2D16-4EB6-BCA3-A75AB1060648}">
            <xm:f>AND(IF(H192='Plan de Accion 2018'!X110,H192&lt;&gt;"N/A"))</xm:f>
            <x14:dxf>
              <fill>
                <patternFill>
                  <bgColor rgb="FF00B050"/>
                </patternFill>
              </fill>
            </x14:dxf>
          </x14:cfRule>
          <x14:cfRule type="expression" priority="18929" stopIfTrue="1" id="{48C30B03-FC48-4704-96C7-4419515D9472}">
            <xm:f>AND(IF(H192&lt;'Plan de Accion 2018'!X110,H192&lt;&gt;"N/A"))</xm:f>
            <x14:dxf>
              <fill>
                <patternFill>
                  <bgColor indexed="10"/>
                </patternFill>
              </fill>
            </x14:dxf>
          </x14:cfRule>
          <xm:sqref>H192:H195</xm:sqref>
        </x14:conditionalFormatting>
        <x14:conditionalFormatting xmlns:xm="http://schemas.microsoft.com/office/excel/2006/main">
          <x14:cfRule type="expression" priority="18921" id="{5FA449BC-EE6F-40D2-9144-36B927DA06E1}">
            <xm:f>AND(IF(H196&gt;'Plan de Accion 2018'!X115,H196&lt;&gt;¨N/A¨))</xm:f>
            <x14:dxf>
              <fill>
                <patternFill>
                  <bgColor theme="1" tint="0.499984740745262"/>
                </patternFill>
              </fill>
            </x14:dxf>
          </x14:cfRule>
          <x14:cfRule type="expression" priority="18922" stopIfTrue="1" id="{91DC5159-9D8B-4D20-9D1F-2A9EFAA0B302}">
            <xm:f>AND(IF(H196='Plan de Accion 2018'!X115,H196&lt;&gt;"N/A"))</xm:f>
            <x14:dxf>
              <fill>
                <patternFill>
                  <bgColor rgb="FF00B050"/>
                </patternFill>
              </fill>
            </x14:dxf>
          </x14:cfRule>
          <x14:cfRule type="expression" priority="18923" stopIfTrue="1" id="{7B0C2ABA-7D7D-413F-BF92-614259B8F00F}">
            <xm:f>AND(IF(H196&lt;'Plan de Accion 2018'!X115,H196&lt;&gt;"N/A"))</xm:f>
            <x14:dxf>
              <fill>
                <patternFill>
                  <bgColor indexed="10"/>
                </patternFill>
              </fill>
            </x14:dxf>
          </x14:cfRule>
          <xm:sqref>H196:H199</xm:sqref>
        </x14:conditionalFormatting>
        <x14:conditionalFormatting xmlns:xm="http://schemas.microsoft.com/office/excel/2006/main">
          <x14:cfRule type="expression" priority="18900" id="{FCC5F5C9-0F99-41E5-AD69-B1974889B1A6}">
            <xm:f>AND(IF(H204&gt;'Plan de Accion 2018'!X63,H204&lt;&gt;¨N/A¨))</xm:f>
            <x14:dxf>
              <fill>
                <patternFill>
                  <bgColor theme="1" tint="0.499984740745262"/>
                </patternFill>
              </fill>
            </x14:dxf>
          </x14:cfRule>
          <x14:cfRule type="expression" priority="18901" stopIfTrue="1" id="{C6BB74E2-453A-4136-BA3A-A287D4E7D4AC}">
            <xm:f>AND(IF(H204='Plan de Accion 2018'!X63,H204&lt;&gt;"N/A"))</xm:f>
            <x14:dxf>
              <fill>
                <patternFill>
                  <bgColor rgb="FF00B050"/>
                </patternFill>
              </fill>
            </x14:dxf>
          </x14:cfRule>
          <x14:cfRule type="expression" priority="18902" stopIfTrue="1" id="{9BB417B0-6A47-4056-A209-EEA9D54D2D7A}">
            <xm:f>AND(IF(H204&lt;'Plan de Accion 2018'!X63,H204&lt;&gt;"N/A"))</xm:f>
            <x14:dxf>
              <fill>
                <patternFill>
                  <bgColor indexed="10"/>
                </patternFill>
              </fill>
            </x14:dxf>
          </x14:cfRule>
          <xm:sqref>H204</xm:sqref>
        </x14:conditionalFormatting>
        <x14:conditionalFormatting xmlns:xm="http://schemas.microsoft.com/office/excel/2006/main">
          <x14:cfRule type="expression" priority="18897" id="{78E35D6F-1D68-4015-93A6-EC633D2F48FC}">
            <xm:f>AND(IF(H205&gt;'Plan de Accion 2018'!X71,H205&lt;&gt;¨N/A¨))</xm:f>
            <x14:dxf>
              <fill>
                <patternFill>
                  <bgColor theme="1" tint="0.499984740745262"/>
                </patternFill>
              </fill>
            </x14:dxf>
          </x14:cfRule>
          <x14:cfRule type="expression" priority="18898" stopIfTrue="1" id="{282AD478-160B-4A6A-8782-116DB5C571E5}">
            <xm:f>AND(IF(H205='Plan de Accion 2018'!X71,H205&lt;&gt;"N/A"))</xm:f>
            <x14:dxf>
              <fill>
                <patternFill>
                  <bgColor rgb="FF00B050"/>
                </patternFill>
              </fill>
            </x14:dxf>
          </x14:cfRule>
          <x14:cfRule type="expression" priority="18899" stopIfTrue="1" id="{47FD856B-F27C-4649-BCE1-64978A31C5C6}">
            <xm:f>AND(IF(H205&lt;'Plan de Accion 2018'!X71,H205&lt;&gt;"N/A"))</xm:f>
            <x14:dxf>
              <fill>
                <patternFill>
                  <bgColor indexed="10"/>
                </patternFill>
              </fill>
            </x14:dxf>
          </x14:cfRule>
          <xm:sqref>H205</xm:sqref>
        </x14:conditionalFormatting>
        <x14:conditionalFormatting xmlns:xm="http://schemas.microsoft.com/office/excel/2006/main">
          <x14:cfRule type="expression" priority="18894" id="{055B1447-593F-4605-B776-EE96019A85D2}">
            <xm:f>AND(IF(H207&gt;'Plan de Accion 2018'!X79,H207&lt;&gt;¨N/A¨))</xm:f>
            <x14:dxf>
              <fill>
                <patternFill>
                  <bgColor theme="1" tint="0.499984740745262"/>
                </patternFill>
              </fill>
            </x14:dxf>
          </x14:cfRule>
          <x14:cfRule type="expression" priority="18895" stopIfTrue="1" id="{499F616C-0424-47D3-8894-714B4E3A8FEA}">
            <xm:f>AND(IF(H207='Plan de Accion 2018'!X79,H207&lt;&gt;"N/A"))</xm:f>
            <x14:dxf>
              <fill>
                <patternFill>
                  <bgColor rgb="FF00B050"/>
                </patternFill>
              </fill>
            </x14:dxf>
          </x14:cfRule>
          <x14:cfRule type="expression" priority="18896" stopIfTrue="1" id="{42DD10BB-C61F-420D-A18F-67A8F5399298}">
            <xm:f>AND(IF(H207&lt;'Plan de Accion 2018'!X79,H207&lt;&gt;"N/A"))</xm:f>
            <x14:dxf>
              <fill>
                <patternFill>
                  <bgColor indexed="10"/>
                </patternFill>
              </fill>
            </x14:dxf>
          </x14:cfRule>
          <xm:sqref>H207</xm:sqref>
        </x14:conditionalFormatting>
        <x14:conditionalFormatting xmlns:xm="http://schemas.microsoft.com/office/excel/2006/main">
          <x14:cfRule type="expression" priority="18885" id="{B5A5660C-3053-41A0-A098-D258E656A072}">
            <xm:f>AND(IF(H211&gt;'Plan de Accion 2018'!X73,H211&lt;&gt;¨N/A¨))</xm:f>
            <x14:dxf>
              <fill>
                <patternFill>
                  <bgColor theme="1" tint="0.499984740745262"/>
                </patternFill>
              </fill>
            </x14:dxf>
          </x14:cfRule>
          <x14:cfRule type="expression" priority="18886" stopIfTrue="1" id="{E2B5B27E-CDF3-450A-8057-12E89A8892C8}">
            <xm:f>AND(IF(H211='Plan de Accion 2018'!X73,H211&lt;&gt;"N/A"))</xm:f>
            <x14:dxf>
              <fill>
                <patternFill>
                  <bgColor rgb="FF00B050"/>
                </patternFill>
              </fill>
            </x14:dxf>
          </x14:cfRule>
          <x14:cfRule type="expression" priority="18887" stopIfTrue="1" id="{E56D0686-0082-45FA-963D-A81530F215ED}">
            <xm:f>AND(IF(H211&lt;'Plan de Accion 2018'!X73,H211&lt;&gt;"N/A"))</xm:f>
            <x14:dxf>
              <fill>
                <patternFill>
                  <bgColor indexed="10"/>
                </patternFill>
              </fill>
            </x14:dxf>
          </x14:cfRule>
          <xm:sqref>H211</xm:sqref>
        </x14:conditionalFormatting>
        <x14:conditionalFormatting xmlns:xm="http://schemas.microsoft.com/office/excel/2006/main">
          <x14:cfRule type="expression" priority="18882" id="{4B3DAEF0-1FED-4309-9C42-94A83F5C7FC9}">
            <xm:f>AND(IF(H212&gt;'Plan de Accion 2018'!X129,H212&lt;&gt;¨N/A¨))</xm:f>
            <x14:dxf>
              <fill>
                <patternFill>
                  <bgColor theme="1" tint="0.499984740745262"/>
                </patternFill>
              </fill>
            </x14:dxf>
          </x14:cfRule>
          <x14:cfRule type="expression" priority="18883" stopIfTrue="1" id="{507012F1-ADE4-4BA7-9884-285F191304DB}">
            <xm:f>AND(IF(H212='Plan de Accion 2018'!X129,H212&lt;&gt;"N/A"))</xm:f>
            <x14:dxf>
              <fill>
                <patternFill>
                  <bgColor rgb="FF00B050"/>
                </patternFill>
              </fill>
            </x14:dxf>
          </x14:cfRule>
          <x14:cfRule type="expression" priority="18884" stopIfTrue="1" id="{93F7499C-2CC0-405B-86CF-E30C012F02C9}">
            <xm:f>AND(IF(H212&lt;'Plan de Accion 2018'!X129,H212&lt;&gt;"N/A"))</xm:f>
            <x14:dxf>
              <fill>
                <patternFill>
                  <bgColor indexed="10"/>
                </patternFill>
              </fill>
            </x14:dxf>
          </x14:cfRule>
          <xm:sqref>H212:H214</xm:sqref>
        </x14:conditionalFormatting>
        <x14:conditionalFormatting xmlns:xm="http://schemas.microsoft.com/office/excel/2006/main">
          <x14:cfRule type="expression" priority="18867" id="{FA0E0588-194E-47B7-B92D-66FFADB788E1}">
            <xm:f>AND(IF(H220&gt;'Plan de Accion 2018'!X101,H220&lt;&gt;¨N/A¨))</xm:f>
            <x14:dxf>
              <fill>
                <patternFill>
                  <bgColor theme="1" tint="0.499984740745262"/>
                </patternFill>
              </fill>
            </x14:dxf>
          </x14:cfRule>
          <x14:cfRule type="expression" priority="18868" stopIfTrue="1" id="{D2013A1A-D98F-4D47-9940-481A9F75A505}">
            <xm:f>AND(IF(H220='Plan de Accion 2018'!X101,H220&lt;&gt;"N/A"))</xm:f>
            <x14:dxf>
              <fill>
                <patternFill>
                  <bgColor rgb="FF00B050"/>
                </patternFill>
              </fill>
            </x14:dxf>
          </x14:cfRule>
          <x14:cfRule type="expression" priority="18869" stopIfTrue="1" id="{C1C1A054-AB17-4C07-8A0C-0F3F6F66E89D}">
            <xm:f>AND(IF(H220&lt;'Plan de Accion 2018'!X101,H220&lt;&gt;"N/A"))</xm:f>
            <x14:dxf>
              <fill>
                <patternFill>
                  <bgColor indexed="10"/>
                </patternFill>
              </fill>
            </x14:dxf>
          </x14:cfRule>
          <xm:sqref>H220:H221</xm:sqref>
        </x14:conditionalFormatting>
        <x14:conditionalFormatting xmlns:xm="http://schemas.microsoft.com/office/excel/2006/main">
          <x14:cfRule type="expression" priority="18861" id="{0097922E-B8ED-4C09-9891-760EE7F462ED}">
            <xm:f>AND(IF(H222&gt;'Plan de Accion 2018'!X121,H222&lt;&gt;¨N/A¨))</xm:f>
            <x14:dxf>
              <fill>
                <patternFill>
                  <bgColor theme="1" tint="0.499984740745262"/>
                </patternFill>
              </fill>
            </x14:dxf>
          </x14:cfRule>
          <x14:cfRule type="expression" priority="18862" stopIfTrue="1" id="{C5A0B0F8-2CF7-4787-ACFA-6BB735960719}">
            <xm:f>AND(IF(H222='Plan de Accion 2018'!X121,H222&lt;&gt;"N/A"))</xm:f>
            <x14:dxf>
              <fill>
                <patternFill>
                  <bgColor rgb="FF00B050"/>
                </patternFill>
              </fill>
            </x14:dxf>
          </x14:cfRule>
          <x14:cfRule type="expression" priority="18863" stopIfTrue="1" id="{E7F928BE-F98C-43F1-AD06-6D4FF4D493D8}">
            <xm:f>AND(IF(H222&lt;'Plan de Accion 2018'!X121,H222&lt;&gt;"N/A"))</xm:f>
            <x14:dxf>
              <fill>
                <patternFill>
                  <bgColor indexed="10"/>
                </patternFill>
              </fill>
            </x14:dxf>
          </x14:cfRule>
          <xm:sqref>H222</xm:sqref>
        </x14:conditionalFormatting>
        <x14:conditionalFormatting xmlns:xm="http://schemas.microsoft.com/office/excel/2006/main">
          <x14:cfRule type="expression" priority="18855" id="{9635B60D-3B78-43AA-94BF-3F988CFCC799}">
            <xm:f>AND(IF(O78&gt;'Plan de Accion 2018'!AH150,O78&lt;&gt;¨N/A¨))</xm:f>
            <x14:dxf>
              <fill>
                <patternFill>
                  <bgColor theme="1" tint="0.499984740745262"/>
                </patternFill>
              </fill>
            </x14:dxf>
          </x14:cfRule>
          <x14:cfRule type="expression" priority="18859" stopIfTrue="1" id="{404F032B-48CE-458A-9249-84803D96C9EB}">
            <xm:f>AND(IF(O78='Plan de Accion 2018'!AH150,O78&lt;&gt;"N/A"))</xm:f>
            <x14:dxf>
              <fill>
                <patternFill>
                  <bgColor rgb="FF00B050"/>
                </patternFill>
              </fill>
            </x14:dxf>
          </x14:cfRule>
          <x14:cfRule type="expression" priority="18860" stopIfTrue="1" id="{E83C4961-5DDE-4A21-9CED-7232A00AC2BA}">
            <xm:f>AND(IF(O78&lt;'Plan de Accion 2018'!AH150,O78&lt;&gt;"N/A"))</xm:f>
            <x14:dxf>
              <fill>
                <patternFill>
                  <bgColor indexed="10"/>
                </patternFill>
              </fill>
            </x14:dxf>
          </x14:cfRule>
          <xm:sqref>O78:O81</xm:sqref>
        </x14:conditionalFormatting>
        <x14:conditionalFormatting xmlns:xm="http://schemas.microsoft.com/office/excel/2006/main">
          <x14:cfRule type="expression" priority="19362" id="{FF3327D0-3CA5-4BF8-BF9E-AA8F2E33D7D9}">
            <xm:f>AND(IF(O18&gt;'Plan de Accion 2018'!AH145,O18&lt;&gt;¨N/A¨))</xm:f>
            <x14:dxf>
              <fill>
                <patternFill>
                  <bgColor theme="1" tint="0.499984740745262"/>
                </patternFill>
              </fill>
            </x14:dxf>
          </x14:cfRule>
          <x14:cfRule type="expression" priority="19363" stopIfTrue="1" id="{74B96E61-3F95-4149-A368-671CAEF4AAD2}">
            <xm:f>AND(IF(O18='Plan de Accion 2018'!AH145,O18&lt;&gt;"N/A"))</xm:f>
            <x14:dxf>
              <fill>
                <patternFill>
                  <bgColor rgb="FF00B050"/>
                </patternFill>
              </fill>
            </x14:dxf>
          </x14:cfRule>
          <x14:cfRule type="expression" priority="19364" stopIfTrue="1" id="{64BB88DA-4785-40D0-A052-D8AAFD5FFE70}">
            <xm:f>AND(IF(O18&lt;'Plan de Accion 2018'!AH145,O18&lt;&gt;"N/A"))</xm:f>
            <x14:dxf>
              <fill>
                <patternFill>
                  <bgColor indexed="10"/>
                </patternFill>
              </fill>
            </x14:dxf>
          </x14:cfRule>
          <xm:sqref>O18</xm:sqref>
        </x14:conditionalFormatting>
        <x14:conditionalFormatting xmlns:xm="http://schemas.microsoft.com/office/excel/2006/main">
          <x14:cfRule type="expression" priority="19359" id="{A3D87421-0B65-4F98-BBBF-FD1995679A4C}">
            <xm:f>AND(IF(O19&gt;'Plan de Accion 2018'!AH103,O19&lt;&gt;¨N/A¨))</xm:f>
            <x14:dxf>
              <fill>
                <patternFill>
                  <bgColor theme="1" tint="0.499984740745262"/>
                </patternFill>
              </fill>
            </x14:dxf>
          </x14:cfRule>
          <x14:cfRule type="expression" priority="19360" stopIfTrue="1" id="{41B26356-30DE-489A-AD26-15FD34136A65}">
            <xm:f>AND(IF(O19='Plan de Accion 2018'!AH103,O19&lt;&gt;"N/A"))</xm:f>
            <x14:dxf>
              <fill>
                <patternFill>
                  <bgColor rgb="FF00B050"/>
                </patternFill>
              </fill>
            </x14:dxf>
          </x14:cfRule>
          <x14:cfRule type="expression" priority="19361" stopIfTrue="1" id="{B0F10322-ECD8-4A2B-9C00-7C06EA305AD3}">
            <xm:f>AND(IF(O19&lt;'Plan de Accion 2018'!AH103,O19&lt;&gt;"N/A"))</xm:f>
            <x14:dxf>
              <fill>
                <patternFill>
                  <bgColor indexed="10"/>
                </patternFill>
              </fill>
            </x14:dxf>
          </x14:cfRule>
          <xm:sqref>O19</xm:sqref>
        </x14:conditionalFormatting>
        <x14:conditionalFormatting xmlns:xm="http://schemas.microsoft.com/office/excel/2006/main">
          <x14:cfRule type="expression" priority="19356" id="{AA37A142-6D08-42A2-8963-970C3FA27596}">
            <xm:f>AND(IF(O20&gt;'Plan de Accion 2018'!AH108,O20&lt;&gt;¨N/A¨))</xm:f>
            <x14:dxf>
              <fill>
                <patternFill>
                  <bgColor theme="1" tint="0.499984740745262"/>
                </patternFill>
              </fill>
            </x14:dxf>
          </x14:cfRule>
          <x14:cfRule type="expression" priority="19357" stopIfTrue="1" id="{AC4644A6-B025-4CEE-9F4C-5F0E6E9D54F5}">
            <xm:f>AND(IF(O20='Plan de Accion 2018'!AH108,O20&lt;&gt;"N/A"))</xm:f>
            <x14:dxf>
              <fill>
                <patternFill>
                  <bgColor rgb="FF00B050"/>
                </patternFill>
              </fill>
            </x14:dxf>
          </x14:cfRule>
          <x14:cfRule type="expression" priority="19358" stopIfTrue="1" id="{60E2013D-6E47-4232-BF6D-021E4B9F87DE}">
            <xm:f>AND(IF(O20&lt;'Plan de Accion 2018'!AH108,O20&lt;&gt;"N/A"))</xm:f>
            <x14:dxf>
              <fill>
                <patternFill>
                  <bgColor indexed="10"/>
                </patternFill>
              </fill>
            </x14:dxf>
          </x14:cfRule>
          <xm:sqref>O20:O21</xm:sqref>
        </x14:conditionalFormatting>
        <x14:conditionalFormatting xmlns:xm="http://schemas.microsoft.com/office/excel/2006/main">
          <x14:cfRule type="expression" priority="6294" id="{FBAFFB69-B454-4AA9-9773-EBC6F4EFEDCC}">
            <xm:f>AND(IF(H18&gt;'Plan de Accion 2018'!X145,H18&lt;&gt;¨N/A¨))</xm:f>
            <x14:dxf>
              <fill>
                <patternFill>
                  <bgColor theme="1" tint="0.499984740745262"/>
                </patternFill>
              </fill>
            </x14:dxf>
          </x14:cfRule>
          <x14:cfRule type="expression" priority="6295" stopIfTrue="1" id="{55212332-4A62-4D93-A4D3-6231801C5518}">
            <xm:f>AND(IF(H18='Plan de Accion 2018'!X145,H18&lt;&gt;"N/A"))</xm:f>
            <x14:dxf>
              <fill>
                <patternFill>
                  <bgColor rgb="FF00B050"/>
                </patternFill>
              </fill>
            </x14:dxf>
          </x14:cfRule>
          <x14:cfRule type="expression" priority="6296" stopIfTrue="1" id="{0B55D040-E2D1-49E3-B167-DD13749BBA17}">
            <xm:f>AND(IF(H18&lt;'Plan de Accion 2018'!X145,H18&lt;&gt;"N/A"))</xm:f>
            <x14:dxf>
              <fill>
                <patternFill>
                  <bgColor indexed="10"/>
                </patternFill>
              </fill>
            </x14:dxf>
          </x14:cfRule>
          <xm:sqref>H18</xm:sqref>
        </x14:conditionalFormatting>
        <x14:conditionalFormatting xmlns:xm="http://schemas.microsoft.com/office/excel/2006/main">
          <x14:cfRule type="expression" priority="6291" id="{8A556E88-A320-4F1B-B4C0-5F37C3CE23CC}">
            <xm:f>AND(IF(H19&gt;'Plan de Accion 2018'!X103,H19&lt;&gt;¨N/A¨))</xm:f>
            <x14:dxf>
              <fill>
                <patternFill>
                  <bgColor theme="1" tint="0.499984740745262"/>
                </patternFill>
              </fill>
            </x14:dxf>
          </x14:cfRule>
          <x14:cfRule type="expression" priority="6292" stopIfTrue="1" id="{E03999B2-AC49-4FAD-ADDA-0338539F0084}">
            <xm:f>AND(IF(H19='Plan de Accion 2018'!X103,H19&lt;&gt;"N/A"))</xm:f>
            <x14:dxf>
              <fill>
                <patternFill>
                  <bgColor rgb="FF00B050"/>
                </patternFill>
              </fill>
            </x14:dxf>
          </x14:cfRule>
          <x14:cfRule type="expression" priority="6293" stopIfTrue="1" id="{FB06060B-BB0E-4E8B-8A60-87532D0DA861}">
            <xm:f>AND(IF(H19&lt;'Plan de Accion 2018'!X103,H19&lt;&gt;"N/A"))</xm:f>
            <x14:dxf>
              <fill>
                <patternFill>
                  <bgColor indexed="10"/>
                </patternFill>
              </fill>
            </x14:dxf>
          </x14:cfRule>
          <xm:sqref>H19</xm:sqref>
        </x14:conditionalFormatting>
        <x14:conditionalFormatting xmlns:xm="http://schemas.microsoft.com/office/excel/2006/main">
          <x14:cfRule type="expression" priority="6288" id="{204D33F6-BAF1-4CC8-8C60-D1EC4849DBD6}">
            <xm:f>AND(IF(H20&gt;'Plan de Accion 2018'!X108,H20&lt;&gt;¨N/A¨))</xm:f>
            <x14:dxf>
              <fill>
                <patternFill>
                  <bgColor theme="1" tint="0.499984740745262"/>
                </patternFill>
              </fill>
            </x14:dxf>
          </x14:cfRule>
          <x14:cfRule type="expression" priority="6289" stopIfTrue="1" id="{BA32F0F2-A339-46A8-8F2B-C5E08664781A}">
            <xm:f>AND(IF(H20='Plan de Accion 2018'!X108,H20&lt;&gt;"N/A"))</xm:f>
            <x14:dxf>
              <fill>
                <patternFill>
                  <bgColor rgb="FF00B050"/>
                </patternFill>
              </fill>
            </x14:dxf>
          </x14:cfRule>
          <x14:cfRule type="expression" priority="6290" stopIfTrue="1" id="{79AEA6CD-0C2A-4A07-84FF-2EF94F816B6F}">
            <xm:f>AND(IF(H20&lt;'Plan de Accion 2018'!X108,H20&lt;&gt;"N/A"))</xm:f>
            <x14:dxf>
              <fill>
                <patternFill>
                  <bgColor indexed="10"/>
                </patternFill>
              </fill>
            </x14:dxf>
          </x14:cfRule>
          <xm:sqref>H20 H22:H24 H28:H34</xm:sqref>
        </x14:conditionalFormatting>
        <x14:conditionalFormatting xmlns:xm="http://schemas.microsoft.com/office/excel/2006/main">
          <x14:cfRule type="expression" priority="6282" id="{DB5BCAF0-D8EA-4608-B38D-3A272641E62B}">
            <xm:f>AND(IF(O22&gt;'Plan de Accion 2018'!AH112,O22&lt;&gt;¨N/A¨))</xm:f>
            <x14:dxf>
              <fill>
                <patternFill>
                  <bgColor theme="1" tint="0.499984740745262"/>
                </patternFill>
              </fill>
            </x14:dxf>
          </x14:cfRule>
          <x14:cfRule type="expression" priority="6283" stopIfTrue="1" id="{86696DC8-4807-4128-8290-F698F5DE6A76}">
            <xm:f>AND(IF(O22='Plan de Accion 2018'!AH112,O22&lt;&gt;"N/A"))</xm:f>
            <x14:dxf>
              <fill>
                <patternFill>
                  <bgColor rgb="FF00B050"/>
                </patternFill>
              </fill>
            </x14:dxf>
          </x14:cfRule>
          <x14:cfRule type="expression" priority="6284" stopIfTrue="1" id="{03777559-2D0F-44DF-A9EE-AC921DF473FA}">
            <xm:f>AND(IF(O22&lt;'Plan de Accion 2018'!AH112,O22&lt;&gt;"N/A"))</xm:f>
            <x14:dxf>
              <fill>
                <patternFill>
                  <bgColor indexed="10"/>
                </patternFill>
              </fill>
            </x14:dxf>
          </x14:cfRule>
          <xm:sqref>O22</xm:sqref>
        </x14:conditionalFormatting>
        <x14:conditionalFormatting xmlns:xm="http://schemas.microsoft.com/office/excel/2006/main">
          <x14:cfRule type="expression" priority="6267" id="{3049FA28-690B-4E60-9E9B-3501B5749827}">
            <xm:f>AND(IF(O28&gt;'Plan de Accion 2018'!AH110,O28&lt;&gt;¨N/A¨))</xm:f>
            <x14:dxf>
              <fill>
                <patternFill>
                  <bgColor theme="1" tint="0.499984740745262"/>
                </patternFill>
              </fill>
            </x14:dxf>
          </x14:cfRule>
          <x14:cfRule type="expression" priority="6268" stopIfTrue="1" id="{BD52468C-2751-44C4-9903-938ABE42300C}">
            <xm:f>AND(IF(O28='Plan de Accion 2018'!AH110,O28&lt;&gt;"N/A"))</xm:f>
            <x14:dxf>
              <fill>
                <patternFill>
                  <bgColor rgb="FF00B050"/>
                </patternFill>
              </fill>
            </x14:dxf>
          </x14:cfRule>
          <x14:cfRule type="expression" priority="6269" stopIfTrue="1" id="{17D199E1-925A-4D47-8EDD-EE40681D7315}">
            <xm:f>AND(IF(O28&lt;'Plan de Accion 2018'!AH110,O28&lt;&gt;"N/A"))</xm:f>
            <x14:dxf>
              <fill>
                <patternFill>
                  <bgColor indexed="10"/>
                </patternFill>
              </fill>
            </x14:dxf>
          </x14:cfRule>
          <xm:sqref>O28:O29 O31:O34</xm:sqref>
        </x14:conditionalFormatting>
        <x14:conditionalFormatting xmlns:xm="http://schemas.microsoft.com/office/excel/2006/main">
          <x14:cfRule type="expression" priority="6255" id="{5DAAA9D6-611E-420E-BA41-6F1197435023}">
            <xm:f>AND(IF(O156&gt;'Plan de Accion 2018'!AH125,O156&lt;&gt;¨N/A¨))</xm:f>
            <x14:dxf>
              <fill>
                <patternFill>
                  <bgColor theme="1" tint="0.499984740745262"/>
                </patternFill>
              </fill>
            </x14:dxf>
          </x14:cfRule>
          <x14:cfRule type="expression" priority="6256" stopIfTrue="1" id="{1B368F98-C71B-4981-81AA-3E5440ABFB0E}">
            <xm:f>AND(IF(O156='Plan de Accion 2018'!AH125,O156&lt;&gt;"N/A"))</xm:f>
            <x14:dxf>
              <fill>
                <patternFill>
                  <bgColor rgb="FF00B050"/>
                </patternFill>
              </fill>
            </x14:dxf>
          </x14:cfRule>
          <x14:cfRule type="expression" priority="6257" stopIfTrue="1" id="{CEC7039C-E6BA-416B-A60C-EA6C218342B2}">
            <xm:f>AND(IF(O156&lt;'Plan de Accion 2018'!AH125,O156&lt;&gt;"N/A"))</xm:f>
            <x14:dxf>
              <fill>
                <patternFill>
                  <bgColor indexed="10"/>
                </patternFill>
              </fill>
            </x14:dxf>
          </x14:cfRule>
          <xm:sqref>O156:O159</xm:sqref>
        </x14:conditionalFormatting>
        <x14:conditionalFormatting xmlns:xm="http://schemas.microsoft.com/office/excel/2006/main">
          <x14:cfRule type="expression" priority="6249" id="{6B66A804-738B-44F3-89C5-0844C9039C46}">
            <xm:f>AND(IF(O36&gt;'Plan de Accion 2018'!AH142,O36&lt;&gt;¨N/A¨))</xm:f>
            <x14:dxf>
              <fill>
                <patternFill>
                  <bgColor theme="1" tint="0.499984740745262"/>
                </patternFill>
              </fill>
            </x14:dxf>
          </x14:cfRule>
          <x14:cfRule type="expression" priority="6250" stopIfTrue="1" id="{D95B2FE5-83AC-4572-B2FB-DCC54BDE753C}">
            <xm:f>AND(IF(O36='Plan de Accion 2018'!AH142,O36&lt;&gt;"N/A"))</xm:f>
            <x14:dxf>
              <fill>
                <patternFill>
                  <bgColor rgb="FF00B050"/>
                </patternFill>
              </fill>
            </x14:dxf>
          </x14:cfRule>
          <x14:cfRule type="expression" priority="6251" stopIfTrue="1" id="{3B585B20-5F12-4895-A52B-14775EC3F589}">
            <xm:f>AND(IF(O36&lt;'Plan de Accion 2018'!AH142,O36&lt;&gt;"N/A"))</xm:f>
            <x14:dxf>
              <fill>
                <patternFill>
                  <bgColor indexed="10"/>
                </patternFill>
              </fill>
            </x14:dxf>
          </x14:cfRule>
          <xm:sqref>O36</xm:sqref>
        </x14:conditionalFormatting>
        <x14:conditionalFormatting xmlns:xm="http://schemas.microsoft.com/office/excel/2006/main">
          <x14:cfRule type="expression" priority="6171" id="{4ADAEF9A-97BE-43FD-AE29-E691B36732D3}">
            <xm:f>AND(IF(O160&gt;'Plan de Accion 2018'!AH132,O160&lt;&gt;¨N/A¨))</xm:f>
            <x14:dxf>
              <fill>
                <patternFill>
                  <bgColor theme="1" tint="0.499984740745262"/>
                </patternFill>
              </fill>
            </x14:dxf>
          </x14:cfRule>
          <x14:cfRule type="expression" priority="6172" stopIfTrue="1" id="{83211002-5080-4940-81C7-34A114938341}">
            <xm:f>AND(IF(O160='Plan de Accion 2018'!AH132,O160&lt;&gt;"N/A"))</xm:f>
            <x14:dxf>
              <fill>
                <patternFill>
                  <bgColor rgb="FF00B050"/>
                </patternFill>
              </fill>
            </x14:dxf>
          </x14:cfRule>
          <x14:cfRule type="expression" priority="6173" stopIfTrue="1" id="{F325A5CF-76AD-48A0-A2DB-2FF4BEAE7C04}">
            <xm:f>AND(IF(O160&lt;'Plan de Accion 2018'!AH132,O160&lt;&gt;"N/A"))</xm:f>
            <x14:dxf>
              <fill>
                <patternFill>
                  <bgColor indexed="10"/>
                </patternFill>
              </fill>
            </x14:dxf>
          </x14:cfRule>
          <xm:sqref>O160:O162</xm:sqref>
        </x14:conditionalFormatting>
        <x14:conditionalFormatting xmlns:xm="http://schemas.microsoft.com/office/excel/2006/main">
          <x14:cfRule type="expression" priority="6162" id="{56E75D71-1ABA-4F65-97A4-1E078D63727A}">
            <xm:f>AND(IF(O66&gt;'Plan de Accion 2018'!AH80,O66&lt;&gt;¨N/A¨))</xm:f>
            <x14:dxf>
              <fill>
                <patternFill>
                  <bgColor theme="1" tint="0.499984740745262"/>
                </patternFill>
              </fill>
            </x14:dxf>
          </x14:cfRule>
          <x14:cfRule type="expression" priority="6163" stopIfTrue="1" id="{5E12CC76-D9D3-4493-A3C0-1BA4F89881D7}">
            <xm:f>AND(IF(O66='Plan de Accion 2018'!AH80,O66&lt;&gt;"N/A"))</xm:f>
            <x14:dxf>
              <fill>
                <patternFill>
                  <bgColor rgb="FF00B050"/>
                </patternFill>
              </fill>
            </x14:dxf>
          </x14:cfRule>
          <x14:cfRule type="expression" priority="6164" stopIfTrue="1" id="{84F2C4BC-698E-4170-ABCF-125EFAC77CB7}">
            <xm:f>AND(IF(O66&lt;'Plan de Accion 2018'!AH80,O66&lt;&gt;"N/A"))</xm:f>
            <x14:dxf>
              <fill>
                <patternFill>
                  <bgColor indexed="10"/>
                </patternFill>
              </fill>
            </x14:dxf>
          </x14:cfRule>
          <xm:sqref>O66:O68</xm:sqref>
        </x14:conditionalFormatting>
        <x14:conditionalFormatting xmlns:xm="http://schemas.microsoft.com/office/excel/2006/main">
          <x14:cfRule type="expression" priority="6153" id="{AE2B0296-C77A-43BF-89F7-B30330388CD5}">
            <xm:f>AND(IF(O69&gt;'Plan de Accion 2018'!AH85,O69&lt;&gt;¨N/A¨))</xm:f>
            <x14:dxf>
              <fill>
                <patternFill>
                  <bgColor theme="1" tint="0.499984740745262"/>
                </patternFill>
              </fill>
            </x14:dxf>
          </x14:cfRule>
          <x14:cfRule type="expression" priority="6154" stopIfTrue="1" id="{87463D36-B1D1-45B4-997A-A051AB38B4A5}">
            <xm:f>AND(IF(O69='Plan de Accion 2018'!AH85,O69&lt;&gt;"N/A"))</xm:f>
            <x14:dxf>
              <fill>
                <patternFill>
                  <bgColor rgb="FF00B050"/>
                </patternFill>
              </fill>
            </x14:dxf>
          </x14:cfRule>
          <x14:cfRule type="expression" priority="6155" stopIfTrue="1" id="{0FCBFD68-8E44-4431-B1D0-BA0C970DD4D2}">
            <xm:f>AND(IF(O69&lt;'Plan de Accion 2018'!AH85,O69&lt;&gt;"N/A"))</xm:f>
            <x14:dxf>
              <fill>
                <patternFill>
                  <bgColor indexed="10"/>
                </patternFill>
              </fill>
            </x14:dxf>
          </x14:cfRule>
          <xm:sqref>O69:O74</xm:sqref>
        </x14:conditionalFormatting>
        <x14:conditionalFormatting xmlns:xm="http://schemas.microsoft.com/office/excel/2006/main">
          <x14:cfRule type="expression" priority="6141" id="{122827AB-C2DA-4014-A31E-79FFFD81A07C}">
            <xm:f>AND(IF(O75&gt;'Plan de Accion 2018'!AH83,O75&lt;&gt;¨N/A¨))</xm:f>
            <x14:dxf>
              <fill>
                <patternFill>
                  <bgColor theme="1" tint="0.499984740745262"/>
                </patternFill>
              </fill>
            </x14:dxf>
          </x14:cfRule>
          <x14:cfRule type="expression" priority="6142" stopIfTrue="1" id="{B103A0E4-EDA4-4573-93C4-A81B0A8488C7}">
            <xm:f>AND(IF(O75='Plan de Accion 2018'!AH83,O75&lt;&gt;"N/A"))</xm:f>
            <x14:dxf>
              <fill>
                <patternFill>
                  <bgColor rgb="FF00B050"/>
                </patternFill>
              </fill>
            </x14:dxf>
          </x14:cfRule>
          <x14:cfRule type="expression" priority="6143" stopIfTrue="1" id="{6E2246C5-588D-486D-B973-F137402F6620}">
            <xm:f>AND(IF(O75&lt;'Plan de Accion 2018'!AH83,O75&lt;&gt;"N/A"))</xm:f>
            <x14:dxf>
              <fill>
                <patternFill>
                  <bgColor indexed="10"/>
                </patternFill>
              </fill>
            </x14:dxf>
          </x14:cfRule>
          <xm:sqref>O75:O76</xm:sqref>
        </x14:conditionalFormatting>
        <x14:conditionalFormatting xmlns:xm="http://schemas.microsoft.com/office/excel/2006/main">
          <x14:cfRule type="expression" priority="6129" id="{78D0C1AC-DAF9-4A2D-8201-D62CDF668C9A}">
            <xm:f>AND(IF(O82&gt;'Plan de Accion 2018'!AH138,O82&lt;&gt;¨N/A¨))</xm:f>
            <x14:dxf>
              <fill>
                <patternFill>
                  <bgColor theme="1" tint="0.499984740745262"/>
                </patternFill>
              </fill>
            </x14:dxf>
          </x14:cfRule>
          <x14:cfRule type="expression" priority="6130" stopIfTrue="1" id="{DF5B2C3C-D659-4BDD-B160-7881856FE24B}">
            <xm:f>AND(IF(O82='Plan de Accion 2018'!AH138,O82&lt;&gt;"N/A"))</xm:f>
            <x14:dxf>
              <fill>
                <patternFill>
                  <bgColor rgb="FF00B050"/>
                </patternFill>
              </fill>
            </x14:dxf>
          </x14:cfRule>
          <x14:cfRule type="expression" priority="6131" stopIfTrue="1" id="{89D2CDD5-9DA5-4EDB-8963-AD875CAF5B49}">
            <xm:f>AND(IF(O82&lt;'Plan de Accion 2018'!AH138,O82&lt;&gt;"N/A"))</xm:f>
            <x14:dxf>
              <fill>
                <patternFill>
                  <bgColor indexed="10"/>
                </patternFill>
              </fill>
            </x14:dxf>
          </x14:cfRule>
          <xm:sqref>O82</xm:sqref>
        </x14:conditionalFormatting>
        <x14:conditionalFormatting xmlns:xm="http://schemas.microsoft.com/office/excel/2006/main">
          <x14:cfRule type="expression" priority="6126" id="{907A2460-573E-47B4-B71D-52A2C317F7E7}">
            <xm:f>AND(IF(O83&gt;'Plan de Accion 2018'!AH147,O83&lt;&gt;¨N/A¨))</xm:f>
            <x14:dxf>
              <fill>
                <patternFill>
                  <bgColor theme="1" tint="0.499984740745262"/>
                </patternFill>
              </fill>
            </x14:dxf>
          </x14:cfRule>
          <x14:cfRule type="expression" priority="6127" stopIfTrue="1" id="{FBD84BD2-917A-471F-ABFD-C688EFB61A36}">
            <xm:f>AND(IF(O83='Plan de Accion 2018'!AH147,O83&lt;&gt;"N/A"))</xm:f>
            <x14:dxf>
              <fill>
                <patternFill>
                  <bgColor rgb="FF00B050"/>
                </patternFill>
              </fill>
            </x14:dxf>
          </x14:cfRule>
          <x14:cfRule type="expression" priority="6128" stopIfTrue="1" id="{0200101A-2BD2-4D7C-B7F6-66CB84DE470C}">
            <xm:f>AND(IF(O83&lt;'Plan de Accion 2018'!AH147,O83&lt;&gt;"N/A"))</xm:f>
            <x14:dxf>
              <fill>
                <patternFill>
                  <bgColor indexed="10"/>
                </patternFill>
              </fill>
            </x14:dxf>
          </x14:cfRule>
          <xm:sqref>O83</xm:sqref>
        </x14:conditionalFormatting>
        <x14:conditionalFormatting xmlns:xm="http://schemas.microsoft.com/office/excel/2006/main">
          <x14:cfRule type="expression" priority="6123" id="{D40D2791-6E3A-4CB9-AB1F-A9D549BC1A5A}">
            <xm:f>AND(IF(O84&gt;'Plan de Accion 2018'!AH149,O84&lt;&gt;¨N/A¨))</xm:f>
            <x14:dxf>
              <fill>
                <patternFill>
                  <bgColor theme="1" tint="0.499984740745262"/>
                </patternFill>
              </fill>
            </x14:dxf>
          </x14:cfRule>
          <x14:cfRule type="expression" priority="6124" stopIfTrue="1" id="{88BC69E5-34F1-4905-9894-189C812CC190}">
            <xm:f>AND(IF(O84='Plan de Accion 2018'!AH149,O84&lt;&gt;"N/A"))</xm:f>
            <x14:dxf>
              <fill>
                <patternFill>
                  <bgColor rgb="FF00B050"/>
                </patternFill>
              </fill>
            </x14:dxf>
          </x14:cfRule>
          <x14:cfRule type="expression" priority="6125" stopIfTrue="1" id="{C7406445-98D7-4926-A18A-14741C5313E1}">
            <xm:f>AND(IF(O84&lt;'Plan de Accion 2018'!AH149,O84&lt;&gt;"N/A"))</xm:f>
            <x14:dxf>
              <fill>
                <patternFill>
                  <bgColor indexed="10"/>
                </patternFill>
              </fill>
            </x14:dxf>
          </x14:cfRule>
          <xm:sqref>O84</xm:sqref>
        </x14:conditionalFormatting>
        <x14:conditionalFormatting xmlns:xm="http://schemas.microsoft.com/office/excel/2006/main">
          <x14:cfRule type="expression" priority="6120" id="{7EF59270-B4F3-42FD-9660-0F499B9C1742}">
            <xm:f>AND(IF(O85&gt;'Plan de Accion 2018'!AH125,O85&lt;&gt;¨N/A¨))</xm:f>
            <x14:dxf>
              <fill>
                <patternFill>
                  <bgColor theme="1" tint="0.499984740745262"/>
                </patternFill>
              </fill>
            </x14:dxf>
          </x14:cfRule>
          <x14:cfRule type="expression" priority="6121" stopIfTrue="1" id="{5168D849-BCE5-484E-87DC-DB96EB8E4FA3}">
            <xm:f>AND(IF(O85='Plan de Accion 2018'!AH125,O85&lt;&gt;"N/A"))</xm:f>
            <x14:dxf>
              <fill>
                <patternFill>
                  <bgColor rgb="FF00B050"/>
                </patternFill>
              </fill>
            </x14:dxf>
          </x14:cfRule>
          <x14:cfRule type="expression" priority="6122" stopIfTrue="1" id="{A3D525FA-225B-41E8-97C5-1290E342EDEC}">
            <xm:f>AND(IF(O85&lt;'Plan de Accion 2018'!AH125,O85&lt;&gt;"N/A"))</xm:f>
            <x14:dxf>
              <fill>
                <patternFill>
                  <bgColor indexed="10"/>
                </patternFill>
              </fill>
            </x14:dxf>
          </x14:cfRule>
          <xm:sqref>O85:O86 O90</xm:sqref>
        </x14:conditionalFormatting>
        <x14:conditionalFormatting xmlns:xm="http://schemas.microsoft.com/office/excel/2006/main">
          <x14:cfRule type="expression" priority="6114" id="{94A0FC93-87AF-4F43-AAE3-571B6E3E2B8A}">
            <xm:f>AND(IF(O91&gt;'Plan de Accion 2018'!AH132,O91&lt;&gt;¨N/A¨))</xm:f>
            <x14:dxf>
              <fill>
                <patternFill>
                  <bgColor theme="1" tint="0.499984740745262"/>
                </patternFill>
              </fill>
            </x14:dxf>
          </x14:cfRule>
          <x14:cfRule type="expression" priority="6115" stopIfTrue="1" id="{9034BFF1-EB50-4CA3-B8D2-0FFB0D0938B2}">
            <xm:f>AND(IF(O91='Plan de Accion 2018'!AH132,O91&lt;&gt;"N/A"))</xm:f>
            <x14:dxf>
              <fill>
                <patternFill>
                  <bgColor rgb="FF00B050"/>
                </patternFill>
              </fill>
            </x14:dxf>
          </x14:cfRule>
          <x14:cfRule type="expression" priority="6116" stopIfTrue="1" id="{79190DA4-A6EC-453C-9B6B-77F0F59BD7E9}">
            <xm:f>AND(IF(O91&lt;'Plan de Accion 2018'!AH132,O91&lt;&gt;"N/A"))</xm:f>
            <x14:dxf>
              <fill>
                <patternFill>
                  <bgColor indexed="10"/>
                </patternFill>
              </fill>
            </x14:dxf>
          </x14:cfRule>
          <xm:sqref>O94 O91</xm:sqref>
        </x14:conditionalFormatting>
        <x14:conditionalFormatting xmlns:xm="http://schemas.microsoft.com/office/excel/2006/main">
          <x14:cfRule type="expression" priority="6108" id="{665B4EDB-2CEC-40EE-9C66-E7615C1D14CF}">
            <xm:f>AND(IF(O95&gt;'Plan de Accion 2018'!AH139,O95&lt;&gt;¨N/A¨))</xm:f>
            <x14:dxf>
              <fill>
                <patternFill>
                  <bgColor theme="1" tint="0.499984740745262"/>
                </patternFill>
              </fill>
            </x14:dxf>
          </x14:cfRule>
          <x14:cfRule type="expression" priority="6109" stopIfTrue="1" id="{29D5088B-611A-463A-9E47-2F26D952C9E3}">
            <xm:f>AND(IF(O95='Plan de Accion 2018'!AH139,O95&lt;&gt;"N/A"))</xm:f>
            <x14:dxf>
              <fill>
                <patternFill>
                  <bgColor rgb="FF00B050"/>
                </patternFill>
              </fill>
            </x14:dxf>
          </x14:cfRule>
          <x14:cfRule type="expression" priority="6110" stopIfTrue="1" id="{C3D75909-5143-4DB9-BC36-66B262AFD942}">
            <xm:f>AND(IF(O95&lt;'Plan de Accion 2018'!AH139,O95&lt;&gt;"N/A"))</xm:f>
            <x14:dxf>
              <fill>
                <patternFill>
                  <bgColor indexed="10"/>
                </patternFill>
              </fill>
            </x14:dxf>
          </x14:cfRule>
          <xm:sqref>O95</xm:sqref>
        </x14:conditionalFormatting>
        <x14:conditionalFormatting xmlns:xm="http://schemas.microsoft.com/office/excel/2006/main">
          <x14:cfRule type="expression" priority="6105" id="{CDB04BB5-8C82-4239-937D-1122E9A03B80}">
            <xm:f>AND(IF(O96&gt;'Plan de Accion 2018'!AH154,O96&lt;&gt;¨N/A¨))</xm:f>
            <x14:dxf>
              <fill>
                <patternFill>
                  <bgColor theme="1" tint="0.499984740745262"/>
                </patternFill>
              </fill>
            </x14:dxf>
          </x14:cfRule>
          <x14:cfRule type="expression" priority="6106" stopIfTrue="1" id="{DFF67972-1BFC-4961-8765-734874F3EAC1}">
            <xm:f>AND(IF(O96='Plan de Accion 2018'!AH154,O96&lt;&gt;"N/A"))</xm:f>
            <x14:dxf>
              <fill>
                <patternFill>
                  <bgColor rgb="FF00B050"/>
                </patternFill>
              </fill>
            </x14:dxf>
          </x14:cfRule>
          <x14:cfRule type="expression" priority="6107" stopIfTrue="1" id="{A1CEA115-F5AE-4A97-9AC6-836C37ECACBB}">
            <xm:f>AND(IF(O96&lt;'Plan de Accion 2018'!AH154,O96&lt;&gt;"N/A"))</xm:f>
            <x14:dxf>
              <fill>
                <patternFill>
                  <bgColor indexed="10"/>
                </patternFill>
              </fill>
            </x14:dxf>
          </x14:cfRule>
          <xm:sqref>O96</xm:sqref>
        </x14:conditionalFormatting>
        <x14:conditionalFormatting xmlns:xm="http://schemas.microsoft.com/office/excel/2006/main">
          <x14:cfRule type="expression" priority="6102" id="{FBB5C317-AB1E-4F43-B1F8-A7B4682AD7BF}">
            <xm:f>AND(IF(O35&gt;'Plan de Accion 2018'!AH9,O35&lt;&gt;¨N/A¨))</xm:f>
            <x14:dxf>
              <fill>
                <patternFill>
                  <bgColor theme="1" tint="0.499984740745262"/>
                </patternFill>
              </fill>
            </x14:dxf>
          </x14:cfRule>
          <x14:cfRule type="expression" priority="6103" stopIfTrue="1" id="{129F5EAC-2681-4D74-B97C-0363A873E61D}">
            <xm:f>AND(IF(O35='Plan de Accion 2018'!AH9,O35&lt;&gt;"N/A"))</xm:f>
            <x14:dxf>
              <fill>
                <patternFill>
                  <bgColor rgb="FF00B050"/>
                </patternFill>
              </fill>
            </x14:dxf>
          </x14:cfRule>
          <x14:cfRule type="expression" priority="6104" stopIfTrue="1" id="{E9742D4D-0A11-4AB6-9D1B-30530E79BB86}">
            <xm:f>AND(IF(O35&lt;'Plan de Accion 2018'!AH9,O35&lt;&gt;"N/A"))</xm:f>
            <x14:dxf>
              <fill>
                <patternFill>
                  <bgColor indexed="10"/>
                </patternFill>
              </fill>
            </x14:dxf>
          </x14:cfRule>
          <xm:sqref>O163 O35</xm:sqref>
        </x14:conditionalFormatting>
        <x14:conditionalFormatting xmlns:xm="http://schemas.microsoft.com/office/excel/2006/main">
          <x14:cfRule type="expression" priority="6099" id="{D98485B0-A829-4DD7-85D9-8DA6D7CCC5BA}">
            <xm:f>AND(IF(O175&gt;'Plan de Accion 2018'!AH122,O175&lt;&gt;¨N/A¨))</xm:f>
            <x14:dxf>
              <fill>
                <patternFill>
                  <bgColor theme="1" tint="0.499984740745262"/>
                </patternFill>
              </fill>
            </x14:dxf>
          </x14:cfRule>
          <x14:cfRule type="expression" priority="6100" stopIfTrue="1" id="{9307B8D1-B8E1-4DBB-B56C-2F037F4C94A1}">
            <xm:f>AND(IF(O175='Plan de Accion 2018'!AH122,O175&lt;&gt;"N/A"))</xm:f>
            <x14:dxf>
              <fill>
                <patternFill>
                  <bgColor rgb="FF00B050"/>
                </patternFill>
              </fill>
            </x14:dxf>
          </x14:cfRule>
          <x14:cfRule type="expression" priority="6101" stopIfTrue="1" id="{7B74C219-9C67-4EB3-AE05-4E03690C1723}">
            <xm:f>AND(IF(O175&lt;'Plan de Accion 2018'!AH122,O175&lt;&gt;"N/A"))</xm:f>
            <x14:dxf>
              <fill>
                <patternFill>
                  <bgColor indexed="10"/>
                </patternFill>
              </fill>
            </x14:dxf>
          </x14:cfRule>
          <xm:sqref>O175</xm:sqref>
        </x14:conditionalFormatting>
        <x14:conditionalFormatting xmlns:xm="http://schemas.microsoft.com/office/excel/2006/main">
          <x14:cfRule type="expression" priority="6096" id="{1506753E-0D88-48A0-8094-602CB52C1104}">
            <xm:f>AND(IF(O101&gt;'Plan de Accion 2018'!AH53,O101&lt;&gt;¨N/A¨))</xm:f>
            <x14:dxf>
              <fill>
                <patternFill>
                  <bgColor theme="1" tint="0.499984740745262"/>
                </patternFill>
              </fill>
            </x14:dxf>
          </x14:cfRule>
          <x14:cfRule type="expression" priority="6097" stopIfTrue="1" id="{D36463E3-0050-4A80-A44D-4F41A5C83B4C}">
            <xm:f>AND(IF(O101='Plan de Accion 2018'!AH53,O101&lt;&gt;"N/A"))</xm:f>
            <x14:dxf>
              <fill>
                <patternFill>
                  <bgColor rgb="FF00B050"/>
                </patternFill>
              </fill>
            </x14:dxf>
          </x14:cfRule>
          <x14:cfRule type="expression" priority="6098" stopIfTrue="1" id="{708D4647-EC86-4804-A4F9-8911AD6BBC21}">
            <xm:f>AND(IF(O101&lt;'Plan de Accion 2018'!AH53,O101&lt;&gt;"N/A"))</xm:f>
            <x14:dxf>
              <fill>
                <patternFill>
                  <bgColor indexed="10"/>
                </patternFill>
              </fill>
            </x14:dxf>
          </x14:cfRule>
          <xm:sqref>O101</xm:sqref>
        </x14:conditionalFormatting>
        <x14:conditionalFormatting xmlns:xm="http://schemas.microsoft.com/office/excel/2006/main">
          <x14:cfRule type="expression" priority="6090" id="{6FE6F1DC-5B60-4FFC-A32B-4AC03BB0B437}">
            <xm:f>AND(IF(O104&gt;'Plan de Accion 2018'!AH68,O104&lt;&gt;¨N/A¨))</xm:f>
            <x14:dxf>
              <fill>
                <patternFill>
                  <bgColor theme="1" tint="0.499984740745262"/>
                </patternFill>
              </fill>
            </x14:dxf>
          </x14:cfRule>
          <x14:cfRule type="expression" priority="6091" stopIfTrue="1" id="{5EF8E481-CD7A-448E-806A-B5EC9462C4C4}">
            <xm:f>AND(IF(O104='Plan de Accion 2018'!AH68,O104&lt;&gt;"N/A"))</xm:f>
            <x14:dxf>
              <fill>
                <patternFill>
                  <bgColor rgb="FF00B050"/>
                </patternFill>
              </fill>
            </x14:dxf>
          </x14:cfRule>
          <x14:cfRule type="expression" priority="6092" stopIfTrue="1" id="{20FD009A-300D-4A6E-A765-364B863A31E9}">
            <xm:f>AND(IF(O104&lt;'Plan de Accion 2018'!AH68,O104&lt;&gt;"N/A"))</xm:f>
            <x14:dxf>
              <fill>
                <patternFill>
                  <bgColor indexed="10"/>
                </patternFill>
              </fill>
            </x14:dxf>
          </x14:cfRule>
          <xm:sqref>O176 O104:O105</xm:sqref>
        </x14:conditionalFormatting>
        <x14:conditionalFormatting xmlns:xm="http://schemas.microsoft.com/office/excel/2006/main">
          <x14:cfRule type="expression" priority="6078" id="{933D93D4-D7AA-4AB7-82C5-474E7F55092F}">
            <xm:f>AND(IF(O108&gt;'Plan de Accion 2018'!AH95,O108&lt;&gt;¨N/A¨))</xm:f>
            <x14:dxf>
              <fill>
                <patternFill>
                  <bgColor theme="1" tint="0.499984740745262"/>
                </patternFill>
              </fill>
            </x14:dxf>
          </x14:cfRule>
          <x14:cfRule type="expression" priority="6079" stopIfTrue="1" id="{1BC975CC-9DC9-4F0D-965D-2A16DAF82096}">
            <xm:f>AND(IF(O108='Plan de Accion 2018'!AH95,O108&lt;&gt;"N/A"))</xm:f>
            <x14:dxf>
              <fill>
                <patternFill>
                  <bgColor rgb="FF00B050"/>
                </patternFill>
              </fill>
            </x14:dxf>
          </x14:cfRule>
          <x14:cfRule type="expression" priority="6080" stopIfTrue="1" id="{B1196131-3378-483C-830C-21B325BD094B}">
            <xm:f>AND(IF(O108&lt;'Plan de Accion 2018'!AH95,O108&lt;&gt;"N/A"))</xm:f>
            <x14:dxf>
              <fill>
                <patternFill>
                  <bgColor indexed="10"/>
                </patternFill>
              </fill>
            </x14:dxf>
          </x14:cfRule>
          <xm:sqref>O108:O111</xm:sqref>
        </x14:conditionalFormatting>
        <x14:conditionalFormatting xmlns:xm="http://schemas.microsoft.com/office/excel/2006/main">
          <x14:cfRule type="expression" priority="6066" id="{D81A256F-07D6-41D6-A6CF-2DB403C83800}">
            <xm:f>AND(IF(O112&gt;'Plan de Accion 2018'!AH107,O112&lt;&gt;¨N/A¨))</xm:f>
            <x14:dxf>
              <fill>
                <patternFill>
                  <bgColor theme="1" tint="0.499984740745262"/>
                </patternFill>
              </fill>
            </x14:dxf>
          </x14:cfRule>
          <x14:cfRule type="expression" priority="6067" stopIfTrue="1" id="{EC937E20-DBB1-4CBB-9A30-076465B8F453}">
            <xm:f>AND(IF(O112='Plan de Accion 2018'!AH107,O112&lt;&gt;"N/A"))</xm:f>
            <x14:dxf>
              <fill>
                <patternFill>
                  <bgColor rgb="FF00B050"/>
                </patternFill>
              </fill>
            </x14:dxf>
          </x14:cfRule>
          <x14:cfRule type="expression" priority="6068" stopIfTrue="1" id="{629F9F1D-47FA-4D81-9B89-4F91DE976D06}">
            <xm:f>AND(IF(O112&lt;'Plan de Accion 2018'!AH107,O112&lt;&gt;"N/A"))</xm:f>
            <x14:dxf>
              <fill>
                <patternFill>
                  <bgColor indexed="10"/>
                </patternFill>
              </fill>
            </x14:dxf>
          </x14:cfRule>
          <xm:sqref>O112</xm:sqref>
        </x14:conditionalFormatting>
        <x14:conditionalFormatting xmlns:xm="http://schemas.microsoft.com/office/excel/2006/main">
          <x14:cfRule type="expression" priority="6060" id="{BFD469F7-0A1A-4274-8A68-F7F2BB789863}">
            <xm:f>AND(IF(O185&gt;'Plan de Accion 2018'!AH77,O185&lt;&gt;¨N/A¨))</xm:f>
            <x14:dxf>
              <fill>
                <patternFill>
                  <bgColor theme="1" tint="0.499984740745262"/>
                </patternFill>
              </fill>
            </x14:dxf>
          </x14:cfRule>
          <x14:cfRule type="expression" priority="6061" stopIfTrue="1" id="{27FEA089-7B80-48AC-B3DE-7B6EA4C1C3F9}">
            <xm:f>AND(IF(O185='Plan de Accion 2018'!AH77,O185&lt;&gt;"N/A"))</xm:f>
            <x14:dxf>
              <fill>
                <patternFill>
                  <bgColor rgb="FF00B050"/>
                </patternFill>
              </fill>
            </x14:dxf>
          </x14:cfRule>
          <x14:cfRule type="expression" priority="6062" stopIfTrue="1" id="{EE7586B8-52AB-4CA1-8884-4C2164FBC7C9}">
            <xm:f>AND(IF(O185&lt;'Plan de Accion 2018'!AH77,O185&lt;&gt;"N/A"))</xm:f>
            <x14:dxf>
              <fill>
                <patternFill>
                  <bgColor indexed="10"/>
                </patternFill>
              </fill>
            </x14:dxf>
          </x14:cfRule>
          <xm:sqref>O185:O186</xm:sqref>
        </x14:conditionalFormatting>
        <x14:conditionalFormatting xmlns:xm="http://schemas.microsoft.com/office/excel/2006/main">
          <x14:cfRule type="expression" priority="6051" id="{E4499E52-20A3-4463-889E-0688E2754676}">
            <xm:f>AND(IF(O117&gt;'Plan de Accion 2018'!AH119,O117&lt;&gt;¨N/A¨))</xm:f>
            <x14:dxf>
              <fill>
                <patternFill>
                  <bgColor theme="1" tint="0.499984740745262"/>
                </patternFill>
              </fill>
            </x14:dxf>
          </x14:cfRule>
          <x14:cfRule type="expression" priority="6052" stopIfTrue="1" id="{0D5A4AAE-5860-4B7A-9558-56E2DD5465EF}">
            <xm:f>AND(IF(O117='Plan de Accion 2018'!AH119,O117&lt;&gt;"N/A"))</xm:f>
            <x14:dxf>
              <fill>
                <patternFill>
                  <bgColor rgb="FF00B050"/>
                </patternFill>
              </fill>
            </x14:dxf>
          </x14:cfRule>
          <x14:cfRule type="expression" priority="6053" stopIfTrue="1" id="{170322DD-7147-413D-9027-9CFC0FF7AF9D}">
            <xm:f>AND(IF(O117&lt;'Plan de Accion 2018'!AH119,O117&lt;&gt;"N/A"))</xm:f>
            <x14:dxf>
              <fill>
                <patternFill>
                  <bgColor indexed="10"/>
                </patternFill>
              </fill>
            </x14:dxf>
          </x14:cfRule>
          <xm:sqref>O117:O120</xm:sqref>
        </x14:conditionalFormatting>
        <x14:conditionalFormatting xmlns:xm="http://schemas.microsoft.com/office/excel/2006/main">
          <x14:cfRule type="expression" priority="6048" id="{C536BEEA-19B2-4A8E-A18F-A5DDE57C703F}">
            <xm:f>AND(IF(O121&gt;'Plan de Accion 2018'!AH141,O121&lt;&gt;¨N/A¨))</xm:f>
            <x14:dxf>
              <fill>
                <patternFill>
                  <bgColor theme="1" tint="0.499984740745262"/>
                </patternFill>
              </fill>
            </x14:dxf>
          </x14:cfRule>
          <x14:cfRule type="expression" priority="6049" stopIfTrue="1" id="{2AFFC7E7-BA6C-494C-86B9-52A021E85894}">
            <xm:f>AND(IF(O121='Plan de Accion 2018'!AH141,O121&lt;&gt;"N/A"))</xm:f>
            <x14:dxf>
              <fill>
                <patternFill>
                  <bgColor rgb="FF00B050"/>
                </patternFill>
              </fill>
            </x14:dxf>
          </x14:cfRule>
          <x14:cfRule type="expression" priority="6050" stopIfTrue="1" id="{1FA8627A-8BB5-4718-A387-53F27246E0B6}">
            <xm:f>AND(IF(O121&lt;'Plan de Accion 2018'!AH141,O121&lt;&gt;"N/A"))</xm:f>
            <x14:dxf>
              <fill>
                <patternFill>
                  <bgColor indexed="10"/>
                </patternFill>
              </fill>
            </x14:dxf>
          </x14:cfRule>
          <xm:sqref>O121</xm:sqref>
        </x14:conditionalFormatting>
        <x14:conditionalFormatting xmlns:xm="http://schemas.microsoft.com/office/excel/2006/main">
          <x14:cfRule type="expression" priority="6045" id="{E0D3DDAF-85D0-421A-ADCB-2F5CB48558A4}">
            <xm:f>AND(IF(O122&gt;'Plan de Accion 2018'!AH143,O122&lt;&gt;¨N/A¨))</xm:f>
            <x14:dxf>
              <fill>
                <patternFill>
                  <bgColor theme="1" tint="0.499984740745262"/>
                </patternFill>
              </fill>
            </x14:dxf>
          </x14:cfRule>
          <x14:cfRule type="expression" priority="6046" stopIfTrue="1" id="{5584E8C4-FD3F-4714-ADE2-16976ADC6838}">
            <xm:f>AND(IF(O122='Plan de Accion 2018'!AH143,O122&lt;&gt;"N/A"))</xm:f>
            <x14:dxf>
              <fill>
                <patternFill>
                  <bgColor rgb="FF00B050"/>
                </patternFill>
              </fill>
            </x14:dxf>
          </x14:cfRule>
          <x14:cfRule type="expression" priority="6047" stopIfTrue="1" id="{18ECD560-4079-4A92-9754-918253889A55}">
            <xm:f>AND(IF(O122&lt;'Plan de Accion 2018'!AH143,O122&lt;&gt;"N/A"))</xm:f>
            <x14:dxf>
              <fill>
                <patternFill>
                  <bgColor indexed="10"/>
                </patternFill>
              </fill>
            </x14:dxf>
          </x14:cfRule>
          <xm:sqref>O122</xm:sqref>
        </x14:conditionalFormatting>
        <x14:conditionalFormatting xmlns:xm="http://schemas.microsoft.com/office/excel/2006/main">
          <x14:cfRule type="expression" priority="6036" id="{7E161275-247C-4DB8-BD6A-E08C157FD714}">
            <xm:f>AND(IF(O200&gt;'Plan de Accion 2018'!AH120,O200&lt;&gt;¨N/A¨))</xm:f>
            <x14:dxf>
              <fill>
                <patternFill>
                  <bgColor theme="1" tint="0.499984740745262"/>
                </patternFill>
              </fill>
            </x14:dxf>
          </x14:cfRule>
          <x14:cfRule type="expression" priority="6037" stopIfTrue="1" id="{6A7F13AD-306E-4D00-A2CC-AA0F8C12D183}">
            <xm:f>AND(IF(O200='Plan de Accion 2018'!AH120,O200&lt;&gt;"N/A"))</xm:f>
            <x14:dxf>
              <fill>
                <patternFill>
                  <bgColor rgb="FF00B050"/>
                </patternFill>
              </fill>
            </x14:dxf>
          </x14:cfRule>
          <x14:cfRule type="expression" priority="6038" stopIfTrue="1" id="{4B452FC1-90BB-4624-A6F2-FE094EB34D6B}">
            <xm:f>AND(IF(O200&lt;'Plan de Accion 2018'!AH120,O200&lt;&gt;"N/A"))</xm:f>
            <x14:dxf>
              <fill>
                <patternFill>
                  <bgColor indexed="10"/>
                </patternFill>
              </fill>
            </x14:dxf>
          </x14:cfRule>
          <xm:sqref>O215:O216 O200</xm:sqref>
        </x14:conditionalFormatting>
        <x14:conditionalFormatting xmlns:xm="http://schemas.microsoft.com/office/excel/2006/main">
          <x14:cfRule type="expression" priority="5994" id="{59496D44-2319-4BE0-AA11-B9E01CE5C92E}">
            <xm:f>AND(IF(O139&gt;'Plan de Accion 2018'!AH67,O139&lt;&gt;¨N/A¨))</xm:f>
            <x14:dxf>
              <fill>
                <patternFill>
                  <bgColor theme="1" tint="0.499984740745262"/>
                </patternFill>
              </fill>
            </x14:dxf>
          </x14:cfRule>
          <x14:cfRule type="expression" priority="5995" stopIfTrue="1" id="{CF943AAA-2676-416F-B32A-FC1981DD38E1}">
            <xm:f>AND(IF(O139='Plan de Accion 2018'!AH67,O139&lt;&gt;"N/A"))</xm:f>
            <x14:dxf>
              <fill>
                <patternFill>
                  <bgColor rgb="FF00B050"/>
                </patternFill>
              </fill>
            </x14:dxf>
          </x14:cfRule>
          <x14:cfRule type="expression" priority="5996" stopIfTrue="1" id="{E8A9828D-449E-44DE-896A-722E53D31DBA}">
            <xm:f>AND(IF(O139&lt;'Plan de Accion 2018'!AH67,O139&lt;&gt;"N/A"))</xm:f>
            <x14:dxf>
              <fill>
                <patternFill>
                  <bgColor indexed="10"/>
                </patternFill>
              </fill>
            </x14:dxf>
          </x14:cfRule>
          <xm:sqref>O139:O142</xm:sqref>
        </x14:conditionalFormatting>
        <x14:conditionalFormatting xmlns:xm="http://schemas.microsoft.com/office/excel/2006/main">
          <x14:cfRule type="expression" priority="5988" id="{0D5E9AE7-4BF4-4895-B6F5-E36E4EBF6CD8}">
            <xm:f>AND(IF(O143&gt;'Plan de Accion 2018'!AH72,O143&lt;&gt;¨N/A¨))</xm:f>
            <x14:dxf>
              <fill>
                <patternFill>
                  <bgColor theme="1" tint="0.499984740745262"/>
                </patternFill>
              </fill>
            </x14:dxf>
          </x14:cfRule>
          <x14:cfRule type="expression" priority="5989" stopIfTrue="1" id="{02B2DB94-55DA-48BE-8394-32506226B26E}">
            <xm:f>AND(IF(O143='Plan de Accion 2018'!AH72,O143&lt;&gt;"N/A"))</xm:f>
            <x14:dxf>
              <fill>
                <patternFill>
                  <bgColor rgb="FF00B050"/>
                </patternFill>
              </fill>
            </x14:dxf>
          </x14:cfRule>
          <x14:cfRule type="expression" priority="5990" stopIfTrue="1" id="{62ECDF26-C3D0-4A4D-A623-10BF6469D388}">
            <xm:f>AND(IF(O143&lt;'Plan de Accion 2018'!AH72,O143&lt;&gt;"N/A"))</xm:f>
            <x14:dxf>
              <fill>
                <patternFill>
                  <bgColor indexed="10"/>
                </patternFill>
              </fill>
            </x14:dxf>
          </x14:cfRule>
          <xm:sqref>O143</xm:sqref>
        </x14:conditionalFormatting>
        <x14:conditionalFormatting xmlns:xm="http://schemas.microsoft.com/office/excel/2006/main">
          <x14:cfRule type="expression" priority="5946" id="{93CAA629-261F-436D-9452-A4B7DFBE4F70}">
            <xm:f>AND(IF(O144&gt;'Plan de Accion 2018'!AH74,O144&lt;&gt;¨N/A¨))</xm:f>
            <x14:dxf>
              <fill>
                <patternFill>
                  <bgColor theme="1" tint="0.499984740745262"/>
                </patternFill>
              </fill>
            </x14:dxf>
          </x14:cfRule>
          <x14:cfRule type="expression" priority="5947" stopIfTrue="1" id="{4D26CA90-CE51-432F-8EDB-F0EB41AEC716}">
            <xm:f>AND(IF(O144='Plan de Accion 2018'!AH74,O144&lt;&gt;"N/A"))</xm:f>
            <x14:dxf>
              <fill>
                <patternFill>
                  <bgColor rgb="FF00B050"/>
                </patternFill>
              </fill>
            </x14:dxf>
          </x14:cfRule>
          <x14:cfRule type="expression" priority="5948" stopIfTrue="1" id="{1C81B4BC-0687-4619-AA36-5E89B581629D}">
            <xm:f>AND(IF(O144&lt;'Plan de Accion 2018'!AH74,O144&lt;&gt;"N/A"))</xm:f>
            <x14:dxf>
              <fill>
                <patternFill>
                  <bgColor indexed="10"/>
                </patternFill>
              </fill>
            </x14:dxf>
          </x14:cfRule>
          <xm:sqref>O144:O145</xm:sqref>
        </x14:conditionalFormatting>
        <x14:conditionalFormatting xmlns:xm="http://schemas.microsoft.com/office/excel/2006/main">
          <x14:cfRule type="expression" priority="5940" id="{EA2CF226-8BB0-4EA1-AEB7-C88F9E82F2B2}">
            <xm:f>AND(IF(O147&gt;'Plan de Accion 2018'!AH36,O147&lt;&gt;¨N/A¨))</xm:f>
            <x14:dxf>
              <fill>
                <patternFill>
                  <bgColor theme="1" tint="0.499984740745262"/>
                </patternFill>
              </fill>
            </x14:dxf>
          </x14:cfRule>
          <x14:cfRule type="expression" priority="5941" stopIfTrue="1" id="{AF34FBC9-67DF-46C9-96B3-FFBD98EE8501}">
            <xm:f>AND(IF(O147='Plan de Accion 2018'!AH36,O147&lt;&gt;"N/A"))</xm:f>
            <x14:dxf>
              <fill>
                <patternFill>
                  <bgColor rgb="FF00B050"/>
                </patternFill>
              </fill>
            </x14:dxf>
          </x14:cfRule>
          <x14:cfRule type="expression" priority="5942" stopIfTrue="1" id="{7FFF8608-A6B0-4AD7-986E-9AF373EFABDD}">
            <xm:f>AND(IF(O147&lt;'Plan de Accion 2018'!AH36,O147&lt;&gt;"N/A"))</xm:f>
            <x14:dxf>
              <fill>
                <patternFill>
                  <bgColor indexed="10"/>
                </patternFill>
              </fill>
            </x14:dxf>
          </x14:cfRule>
          <xm:sqref>O147:O154</xm:sqref>
        </x14:conditionalFormatting>
        <x14:conditionalFormatting xmlns:xm="http://schemas.microsoft.com/office/excel/2006/main">
          <x14:cfRule type="expression" priority="5892" id="{D06420E3-CF30-4DD2-8280-E6FBC9305FCD}">
            <xm:f>AND(IF(O164&gt;'Plan de Accion 2018'!AH139,O164&lt;&gt;¨N/A¨))</xm:f>
            <x14:dxf>
              <fill>
                <patternFill>
                  <bgColor theme="1" tint="0.499984740745262"/>
                </patternFill>
              </fill>
            </x14:dxf>
          </x14:cfRule>
          <x14:cfRule type="expression" priority="5893" stopIfTrue="1" id="{E9A6D6B5-AAA3-43C6-9844-572A7B925557}">
            <xm:f>AND(IF(O164='Plan de Accion 2018'!AH139,O164&lt;&gt;"N/A"))</xm:f>
            <x14:dxf>
              <fill>
                <patternFill>
                  <bgColor rgb="FF00B050"/>
                </patternFill>
              </fill>
            </x14:dxf>
          </x14:cfRule>
          <x14:cfRule type="expression" priority="5894" stopIfTrue="1" id="{524635D6-4978-4420-B178-33C242E99282}">
            <xm:f>AND(IF(O164&lt;'Plan de Accion 2018'!AH139,O164&lt;&gt;"N/A"))</xm:f>
            <x14:dxf>
              <fill>
                <patternFill>
                  <bgColor indexed="10"/>
                </patternFill>
              </fill>
            </x14:dxf>
          </x14:cfRule>
          <xm:sqref>O164</xm:sqref>
        </x14:conditionalFormatting>
        <x14:conditionalFormatting xmlns:xm="http://schemas.microsoft.com/office/excel/2006/main">
          <x14:cfRule type="expression" priority="5889" id="{37341CEB-788A-42E9-B0A6-840E87374D72}">
            <xm:f>AND(IF(O165&gt;'Plan de Accion 2018'!AH146,O165&lt;&gt;¨N/A¨))</xm:f>
            <x14:dxf>
              <fill>
                <patternFill>
                  <bgColor theme="1" tint="0.499984740745262"/>
                </patternFill>
              </fill>
            </x14:dxf>
          </x14:cfRule>
          <x14:cfRule type="expression" priority="5890" stopIfTrue="1" id="{53F7CBE0-D564-4055-92EE-0E4404225001}">
            <xm:f>AND(IF(O165='Plan de Accion 2018'!AH146,O165&lt;&gt;"N/A"))</xm:f>
            <x14:dxf>
              <fill>
                <patternFill>
                  <bgColor rgb="FF00B050"/>
                </patternFill>
              </fill>
            </x14:dxf>
          </x14:cfRule>
          <x14:cfRule type="expression" priority="5891" stopIfTrue="1" id="{15524A94-0D43-433A-B1DF-22CF36BB057E}">
            <xm:f>AND(IF(O165&lt;'Plan de Accion 2018'!AH146,O165&lt;&gt;"N/A"))</xm:f>
            <x14:dxf>
              <fill>
                <patternFill>
                  <bgColor indexed="10"/>
                </patternFill>
              </fill>
            </x14:dxf>
          </x14:cfRule>
          <xm:sqref>O165</xm:sqref>
        </x14:conditionalFormatting>
        <x14:conditionalFormatting xmlns:xm="http://schemas.microsoft.com/office/excel/2006/main">
          <x14:cfRule type="expression" priority="5886" id="{68447B59-877A-404D-B0AE-6151A52F064E}">
            <xm:f>AND(IF(O166&gt;'Plan de Accion 2018'!AH148,O166&lt;&gt;¨N/A¨))</xm:f>
            <x14:dxf>
              <fill>
                <patternFill>
                  <bgColor theme="1" tint="0.499984740745262"/>
                </patternFill>
              </fill>
            </x14:dxf>
          </x14:cfRule>
          <x14:cfRule type="expression" priority="5887" stopIfTrue="1" id="{86D1D90E-1DA7-4627-AF54-12442DEC13E0}">
            <xm:f>AND(IF(O166='Plan de Accion 2018'!AH148,O166&lt;&gt;"N/A"))</xm:f>
            <x14:dxf>
              <fill>
                <patternFill>
                  <bgColor rgb="FF00B050"/>
                </patternFill>
              </fill>
            </x14:dxf>
          </x14:cfRule>
          <x14:cfRule type="expression" priority="5888" stopIfTrue="1" id="{A80BE1DC-0B93-4799-B9BC-F5F13F898DEA}">
            <xm:f>AND(IF(O166&lt;'Plan de Accion 2018'!AH148,O166&lt;&gt;"N/A"))</xm:f>
            <x14:dxf>
              <fill>
                <patternFill>
                  <bgColor indexed="10"/>
                </patternFill>
              </fill>
            </x14:dxf>
          </x14:cfRule>
          <xm:sqref>O166</xm:sqref>
        </x14:conditionalFormatting>
        <x14:conditionalFormatting xmlns:xm="http://schemas.microsoft.com/office/excel/2006/main">
          <x14:cfRule type="expression" priority="5883" id="{71977E91-EBCF-4C91-A420-41DC9BC95AE5}">
            <xm:f>AND(IF(O168&gt;'Plan de Accion 2018'!AH8,O168&lt;&gt;¨N/A¨))</xm:f>
            <x14:dxf>
              <fill>
                <patternFill>
                  <bgColor theme="1" tint="0.499984740745262"/>
                </patternFill>
              </fill>
            </x14:dxf>
          </x14:cfRule>
          <x14:cfRule type="expression" priority="5884" stopIfTrue="1" id="{C9FC0BD4-218A-4020-B54C-E760DA750CB4}">
            <xm:f>AND(IF(O168='Plan de Accion 2018'!AH8,O168&lt;&gt;"N/A"))</xm:f>
            <x14:dxf>
              <fill>
                <patternFill>
                  <bgColor rgb="FF00B050"/>
                </patternFill>
              </fill>
            </x14:dxf>
          </x14:cfRule>
          <x14:cfRule type="expression" priority="5885" stopIfTrue="1" id="{058C1441-FF5D-4E80-AEED-14B523BB0858}">
            <xm:f>AND(IF(O168&lt;'Plan de Accion 2018'!AH8,O168&lt;&gt;"N/A"))</xm:f>
            <x14:dxf>
              <fill>
                <patternFill>
                  <bgColor indexed="10"/>
                </patternFill>
              </fill>
            </x14:dxf>
          </x14:cfRule>
          <xm:sqref>O168</xm:sqref>
        </x14:conditionalFormatting>
        <x14:conditionalFormatting xmlns:xm="http://schemas.microsoft.com/office/excel/2006/main">
          <x14:cfRule type="expression" priority="5880" id="{89EA23BE-FD2A-41A8-AF5E-69BE017843CC}">
            <xm:f>AND(IF(O169&gt;'Plan de Accion 2018'!AH12,O169&lt;&gt;¨N/A¨))</xm:f>
            <x14:dxf>
              <fill>
                <patternFill>
                  <bgColor theme="1" tint="0.499984740745262"/>
                </patternFill>
              </fill>
            </x14:dxf>
          </x14:cfRule>
          <x14:cfRule type="expression" priority="5881" stopIfTrue="1" id="{833C63BF-2408-456E-8B71-059C999DE504}">
            <xm:f>AND(IF(O169='Plan de Accion 2018'!AH12,O169&lt;&gt;"N/A"))</xm:f>
            <x14:dxf>
              <fill>
                <patternFill>
                  <bgColor rgb="FF00B050"/>
                </patternFill>
              </fill>
            </x14:dxf>
          </x14:cfRule>
          <x14:cfRule type="expression" priority="5882" stopIfTrue="1" id="{CD0A57C8-6C99-467A-A84A-0691C2E348E7}">
            <xm:f>AND(IF(O169&lt;'Plan de Accion 2018'!AH12,O169&lt;&gt;"N/A"))</xm:f>
            <x14:dxf>
              <fill>
                <patternFill>
                  <bgColor indexed="10"/>
                </patternFill>
              </fill>
            </x14:dxf>
          </x14:cfRule>
          <xm:sqref>O169</xm:sqref>
        </x14:conditionalFormatting>
        <x14:conditionalFormatting xmlns:xm="http://schemas.microsoft.com/office/excel/2006/main">
          <x14:cfRule type="expression" priority="5877" id="{4B18CF23-D3C9-47F9-9221-8EF09B2AEC88}">
            <xm:f>AND(IF(O170&gt;'Plan de Accion 2018'!AH45,O170&lt;&gt;¨N/A¨))</xm:f>
            <x14:dxf>
              <fill>
                <patternFill>
                  <bgColor theme="1" tint="0.499984740745262"/>
                </patternFill>
              </fill>
            </x14:dxf>
          </x14:cfRule>
          <x14:cfRule type="expression" priority="5878" stopIfTrue="1" id="{A6FFD223-9227-41E5-B1C3-BB1447044B0C}">
            <xm:f>AND(IF(O170='Plan de Accion 2018'!AH45,O170&lt;&gt;"N/A"))</xm:f>
            <x14:dxf>
              <fill>
                <patternFill>
                  <bgColor rgb="FF00B050"/>
                </patternFill>
              </fill>
            </x14:dxf>
          </x14:cfRule>
          <x14:cfRule type="expression" priority="5879" stopIfTrue="1" id="{E424C868-A04A-45BB-BADD-E2F2ED4B29A2}">
            <xm:f>AND(IF(O170&lt;'Plan de Accion 2018'!AH45,O170&lt;&gt;"N/A"))</xm:f>
            <x14:dxf>
              <fill>
                <patternFill>
                  <bgColor indexed="10"/>
                </patternFill>
              </fill>
            </x14:dxf>
          </x14:cfRule>
          <xm:sqref>O170 O208:O209</xm:sqref>
        </x14:conditionalFormatting>
        <x14:conditionalFormatting xmlns:xm="http://schemas.microsoft.com/office/excel/2006/main">
          <x14:cfRule type="expression" priority="5874" id="{246632F1-7C03-489A-AE92-80E02045F584}">
            <xm:f>AND(IF(O171&gt;'Plan de Accion 2018'!AH64,O171&lt;&gt;¨N/A¨))</xm:f>
            <x14:dxf>
              <fill>
                <patternFill>
                  <bgColor theme="1" tint="0.499984740745262"/>
                </patternFill>
              </fill>
            </x14:dxf>
          </x14:cfRule>
          <x14:cfRule type="expression" priority="5875" stopIfTrue="1" id="{51DA99E1-18DB-44AC-AF36-11D3D4C398CF}">
            <xm:f>AND(IF(O171='Plan de Accion 2018'!AH64,O171&lt;&gt;"N/A"))</xm:f>
            <x14:dxf>
              <fill>
                <patternFill>
                  <bgColor rgb="FF00B050"/>
                </patternFill>
              </fill>
            </x14:dxf>
          </x14:cfRule>
          <x14:cfRule type="expression" priority="5876" stopIfTrue="1" id="{D616F941-2CD4-4A6C-8107-CB9BC7F858F4}">
            <xm:f>AND(IF(O171&lt;'Plan de Accion 2018'!AH64,O171&lt;&gt;"N/A"))</xm:f>
            <x14:dxf>
              <fill>
                <patternFill>
                  <bgColor indexed="10"/>
                </patternFill>
              </fill>
            </x14:dxf>
          </x14:cfRule>
          <xm:sqref>O171</xm:sqref>
        </x14:conditionalFormatting>
        <x14:conditionalFormatting xmlns:xm="http://schemas.microsoft.com/office/excel/2006/main">
          <x14:cfRule type="expression" priority="5871" id="{F7C338D5-5C26-4340-9154-4D6B2F83D750}">
            <xm:f>AND(IF(O172&gt;'Plan de Accion 2018'!AH76,O172&lt;&gt;¨N/A¨))</xm:f>
            <x14:dxf>
              <fill>
                <patternFill>
                  <bgColor theme="1" tint="0.499984740745262"/>
                </patternFill>
              </fill>
            </x14:dxf>
          </x14:cfRule>
          <x14:cfRule type="expression" priority="5872" stopIfTrue="1" id="{E519CD6C-E7B8-44C2-A73C-FCC8B5D54247}">
            <xm:f>AND(IF(O172='Plan de Accion 2018'!AH76,O172&lt;&gt;"N/A"))</xm:f>
            <x14:dxf>
              <fill>
                <patternFill>
                  <bgColor rgb="FF00B050"/>
                </patternFill>
              </fill>
            </x14:dxf>
          </x14:cfRule>
          <x14:cfRule type="expression" priority="5873" stopIfTrue="1" id="{3AFCCF64-03D3-47D2-979C-3D9E034C04F8}">
            <xm:f>AND(IF(O172&lt;'Plan de Accion 2018'!AH76,O172&lt;&gt;"N/A"))</xm:f>
            <x14:dxf>
              <fill>
                <patternFill>
                  <bgColor indexed="10"/>
                </patternFill>
              </fill>
            </x14:dxf>
          </x14:cfRule>
          <xm:sqref>O172</xm:sqref>
        </x14:conditionalFormatting>
        <x14:conditionalFormatting xmlns:xm="http://schemas.microsoft.com/office/excel/2006/main">
          <x14:cfRule type="expression" priority="5868" id="{94D5B3DF-C526-4D8C-8AE2-C6E5D83BBFBB}">
            <xm:f>AND(IF(O173&gt;'Plan de Accion 2018'!AH89,O173&lt;&gt;¨N/A¨))</xm:f>
            <x14:dxf>
              <fill>
                <patternFill>
                  <bgColor theme="1" tint="0.499984740745262"/>
                </patternFill>
              </fill>
            </x14:dxf>
          </x14:cfRule>
          <x14:cfRule type="expression" priority="5869" stopIfTrue="1" id="{45FF82D3-7ACE-470A-A0C4-1C49EA8EDC5D}">
            <xm:f>AND(IF(O173='Plan de Accion 2018'!AH89,O173&lt;&gt;"N/A"))</xm:f>
            <x14:dxf>
              <fill>
                <patternFill>
                  <bgColor rgb="FF00B050"/>
                </patternFill>
              </fill>
            </x14:dxf>
          </x14:cfRule>
          <x14:cfRule type="expression" priority="5870" stopIfTrue="1" id="{9D0FF794-998C-46E8-9845-CD9C320AA1DB}">
            <xm:f>AND(IF(O173&lt;'Plan de Accion 2018'!AH89,O173&lt;&gt;"N/A"))</xm:f>
            <x14:dxf>
              <fill>
                <patternFill>
                  <bgColor indexed="10"/>
                </patternFill>
              </fill>
            </x14:dxf>
          </x14:cfRule>
          <xm:sqref>O173</xm:sqref>
        </x14:conditionalFormatting>
        <x14:conditionalFormatting xmlns:xm="http://schemas.microsoft.com/office/excel/2006/main">
          <x14:cfRule type="expression" priority="5865" id="{65B77048-8EBB-4671-A11F-AA4AB698F6A3}">
            <xm:f>AND(IF(O217&gt;'Plan de Accion 2018'!AH154,O217&lt;&gt;¨N/A¨))</xm:f>
            <x14:dxf>
              <fill>
                <patternFill>
                  <bgColor theme="1" tint="0.499984740745262"/>
                </patternFill>
              </fill>
            </x14:dxf>
          </x14:cfRule>
          <x14:cfRule type="expression" priority="5866" stopIfTrue="1" id="{6B01A7A2-E4EE-4493-B0F4-5ABBD6CC3620}">
            <xm:f>AND(IF(O217='Plan de Accion 2018'!AH154,O217&lt;&gt;"N/A"))</xm:f>
            <x14:dxf>
              <fill>
                <patternFill>
                  <bgColor rgb="FF00B050"/>
                </patternFill>
              </fill>
            </x14:dxf>
          </x14:cfRule>
          <x14:cfRule type="expression" priority="5867" stopIfTrue="1" id="{783DC5D6-163E-4602-ABB9-EEC214A0FB42}">
            <xm:f>AND(IF(O217&lt;'Plan de Accion 2018'!AH154,O217&lt;&gt;"N/A"))</xm:f>
            <x14:dxf>
              <fill>
                <patternFill>
                  <bgColor indexed="10"/>
                </patternFill>
              </fill>
            </x14:dxf>
          </x14:cfRule>
          <xm:sqref>O217</xm:sqref>
        </x14:conditionalFormatting>
        <x14:conditionalFormatting xmlns:xm="http://schemas.microsoft.com/office/excel/2006/main">
          <x14:cfRule type="expression" priority="5856" id="{F7A7F0F4-6C05-4526-B6F9-6FC8074B4BE6}">
            <xm:f>AND(IF(O179&gt;'Plan de Accion 2018'!AH13,O179&lt;&gt;¨N/A¨))</xm:f>
            <x14:dxf>
              <fill>
                <patternFill>
                  <bgColor theme="1" tint="0.499984740745262"/>
                </patternFill>
              </fill>
            </x14:dxf>
          </x14:cfRule>
          <x14:cfRule type="expression" priority="5857" stopIfTrue="1" id="{BFFBE208-63E2-4893-8342-F953A6979207}">
            <xm:f>AND(IF(O179='Plan de Accion 2018'!AH13,O179&lt;&gt;"N/A"))</xm:f>
            <x14:dxf>
              <fill>
                <patternFill>
                  <bgColor rgb="FF00B050"/>
                </patternFill>
              </fill>
            </x14:dxf>
          </x14:cfRule>
          <x14:cfRule type="expression" priority="5858" stopIfTrue="1" id="{292AE63C-09EE-499E-A316-3A14F301385D}">
            <xm:f>AND(IF(O179&lt;'Plan de Accion 2018'!AH13,O179&lt;&gt;"N/A"))</xm:f>
            <x14:dxf>
              <fill>
                <patternFill>
                  <bgColor indexed="10"/>
                </patternFill>
              </fill>
            </x14:dxf>
          </x14:cfRule>
          <xm:sqref>O179:O180</xm:sqref>
        </x14:conditionalFormatting>
        <x14:conditionalFormatting xmlns:xm="http://schemas.microsoft.com/office/excel/2006/main">
          <x14:cfRule type="expression" priority="5850" id="{3C4CF5C5-1B9E-485E-A95C-7160C621E01B}">
            <xm:f>AND(IF(O181&gt;'Plan de Accion 2018'!AH46,O181&lt;&gt;¨N/A¨))</xm:f>
            <x14:dxf>
              <fill>
                <patternFill>
                  <bgColor theme="1" tint="0.499984740745262"/>
                </patternFill>
              </fill>
            </x14:dxf>
          </x14:cfRule>
          <x14:cfRule type="expression" priority="5851" stopIfTrue="1" id="{D0DD3133-5EC8-4E7B-8B8B-48B857CF7EF1}">
            <xm:f>AND(IF(O181='Plan de Accion 2018'!AH46,O181&lt;&gt;"N/A"))</xm:f>
            <x14:dxf>
              <fill>
                <patternFill>
                  <bgColor rgb="FF00B050"/>
                </patternFill>
              </fill>
            </x14:dxf>
          </x14:cfRule>
          <x14:cfRule type="expression" priority="5852" stopIfTrue="1" id="{2ED0208C-35B2-4E51-BB0F-9ED5D461BAA6}">
            <xm:f>AND(IF(O181&lt;'Plan de Accion 2018'!AH46,O181&lt;&gt;"N/A"))</xm:f>
            <x14:dxf>
              <fill>
                <patternFill>
                  <bgColor indexed="10"/>
                </patternFill>
              </fill>
            </x14:dxf>
          </x14:cfRule>
          <xm:sqref>O181:O182</xm:sqref>
        </x14:conditionalFormatting>
        <x14:conditionalFormatting xmlns:xm="http://schemas.microsoft.com/office/excel/2006/main">
          <x14:cfRule type="expression" priority="5844" id="{D10AD4BA-AB32-479B-A05F-7EBB47AECE0D}">
            <xm:f>AND(IF(O183&gt;'Plan de Accion 2018'!AH65,O183&lt;&gt;¨N/A¨))</xm:f>
            <x14:dxf>
              <fill>
                <patternFill>
                  <bgColor theme="1" tint="0.499984740745262"/>
                </patternFill>
              </fill>
            </x14:dxf>
          </x14:cfRule>
          <x14:cfRule type="expression" priority="5845" stopIfTrue="1" id="{E8804082-AE2C-4662-ADD2-A6A58D3333B9}">
            <xm:f>AND(IF(O183='Plan de Accion 2018'!AH65,O183&lt;&gt;"N/A"))</xm:f>
            <x14:dxf>
              <fill>
                <patternFill>
                  <bgColor rgb="FF00B050"/>
                </patternFill>
              </fill>
            </x14:dxf>
          </x14:cfRule>
          <x14:cfRule type="expression" priority="5846" stopIfTrue="1" id="{27638E90-BB39-497E-B54B-48A04239D80C}">
            <xm:f>AND(IF(O183&lt;'Plan de Accion 2018'!AH65,O183&lt;&gt;"N/A"))</xm:f>
            <x14:dxf>
              <fill>
                <patternFill>
                  <bgColor indexed="10"/>
                </patternFill>
              </fill>
            </x14:dxf>
          </x14:cfRule>
          <xm:sqref>O183:O184</xm:sqref>
        </x14:conditionalFormatting>
        <x14:conditionalFormatting xmlns:xm="http://schemas.microsoft.com/office/excel/2006/main">
          <x14:cfRule type="expression" priority="5832" id="{F979C8CE-8970-4390-93D7-B930FB13FA79}">
            <xm:f>AND(IF(O187&gt;'Plan de Accion 2018'!AH90,O187&lt;&gt;¨N/A¨))</xm:f>
            <x14:dxf>
              <fill>
                <patternFill>
                  <bgColor theme="1" tint="0.499984740745262"/>
                </patternFill>
              </fill>
            </x14:dxf>
          </x14:cfRule>
          <x14:cfRule type="expression" priority="5833" stopIfTrue="1" id="{DC8BE4F0-62E4-4709-95C8-D14350CE195D}">
            <xm:f>AND(IF(O187='Plan de Accion 2018'!AH90,O187&lt;&gt;"N/A"))</xm:f>
            <x14:dxf>
              <fill>
                <patternFill>
                  <bgColor rgb="FF00B050"/>
                </patternFill>
              </fill>
            </x14:dxf>
          </x14:cfRule>
          <x14:cfRule type="expression" priority="5834" stopIfTrue="1" id="{1737FCC3-9BEE-4FF3-8347-C592FF44D509}">
            <xm:f>AND(IF(O187&lt;'Plan de Accion 2018'!AH90,O187&lt;&gt;"N/A"))</xm:f>
            <x14:dxf>
              <fill>
                <patternFill>
                  <bgColor indexed="10"/>
                </patternFill>
              </fill>
            </x14:dxf>
          </x14:cfRule>
          <xm:sqref>O187:O188</xm:sqref>
        </x14:conditionalFormatting>
        <x14:conditionalFormatting xmlns:xm="http://schemas.microsoft.com/office/excel/2006/main">
          <x14:cfRule type="expression" priority="5826" id="{C70BE97F-9581-466F-8476-006345B65701}">
            <xm:f>AND(IF(O189&gt;'Plan de Accion 2018'!AH99,O189&lt;&gt;¨N/A¨))</xm:f>
            <x14:dxf>
              <fill>
                <patternFill>
                  <bgColor theme="1" tint="0.499984740745262"/>
                </patternFill>
              </fill>
            </x14:dxf>
          </x14:cfRule>
          <x14:cfRule type="expression" priority="5827" stopIfTrue="1" id="{6AA328FE-740E-4721-8E09-E6232575F793}">
            <xm:f>AND(IF(O189='Plan de Accion 2018'!AH99,O189&lt;&gt;"N/A"))</xm:f>
            <x14:dxf>
              <fill>
                <patternFill>
                  <bgColor rgb="FF00B050"/>
                </patternFill>
              </fill>
            </x14:dxf>
          </x14:cfRule>
          <x14:cfRule type="expression" priority="5828" stopIfTrue="1" id="{68D20D59-AD49-413B-BB4D-D28DC57AA934}">
            <xm:f>AND(IF(O189&lt;'Plan de Accion 2018'!AH99,O189&lt;&gt;"N/A"))</xm:f>
            <x14:dxf>
              <fill>
                <patternFill>
                  <bgColor indexed="10"/>
                </patternFill>
              </fill>
            </x14:dxf>
          </x14:cfRule>
          <xm:sqref>O189:O190</xm:sqref>
        </x14:conditionalFormatting>
        <x14:conditionalFormatting xmlns:xm="http://schemas.microsoft.com/office/excel/2006/main">
          <x14:cfRule type="expression" priority="5820" id="{AEED1921-B118-40D2-A51E-22C68E2315C2}">
            <xm:f>AND(IF(O191&gt;'Plan de Accion 2018'!AH104,O191&lt;&gt;¨N/A¨))</xm:f>
            <x14:dxf>
              <fill>
                <patternFill>
                  <bgColor theme="1" tint="0.499984740745262"/>
                </patternFill>
              </fill>
            </x14:dxf>
          </x14:cfRule>
          <x14:cfRule type="expression" priority="5821" stopIfTrue="1" id="{BD326BBB-BAD8-471F-ADBF-3BCD223DE849}">
            <xm:f>AND(IF(O191='Plan de Accion 2018'!AH104,O191&lt;&gt;"N/A"))</xm:f>
            <x14:dxf>
              <fill>
                <patternFill>
                  <bgColor rgb="FF00B050"/>
                </patternFill>
              </fill>
            </x14:dxf>
          </x14:cfRule>
          <x14:cfRule type="expression" priority="5822" stopIfTrue="1" id="{F0FFB52E-2E33-45E5-B096-AC18015601E3}">
            <xm:f>AND(IF(O191&lt;'Plan de Accion 2018'!AH104,O191&lt;&gt;"N/A"))</xm:f>
            <x14:dxf>
              <fill>
                <patternFill>
                  <bgColor indexed="10"/>
                </patternFill>
              </fill>
            </x14:dxf>
          </x14:cfRule>
          <xm:sqref>O191</xm:sqref>
        </x14:conditionalFormatting>
        <x14:conditionalFormatting xmlns:xm="http://schemas.microsoft.com/office/excel/2006/main">
          <x14:cfRule type="expression" priority="5817" id="{EC52F4D3-6861-4E95-B563-0CF185EC48D9}">
            <xm:f>AND(IF(O192&gt;'Plan de Accion 2018'!AH110,O192&lt;&gt;¨N/A¨))</xm:f>
            <x14:dxf>
              <fill>
                <patternFill>
                  <bgColor theme="1" tint="0.499984740745262"/>
                </patternFill>
              </fill>
            </x14:dxf>
          </x14:cfRule>
          <x14:cfRule type="expression" priority="5818" stopIfTrue="1" id="{CB3E0CD7-35FE-4C45-A0F5-E8DAD3C483B3}">
            <xm:f>AND(IF(O192='Plan de Accion 2018'!AH110,O192&lt;&gt;"N/A"))</xm:f>
            <x14:dxf>
              <fill>
                <patternFill>
                  <bgColor rgb="FF00B050"/>
                </patternFill>
              </fill>
            </x14:dxf>
          </x14:cfRule>
          <x14:cfRule type="expression" priority="5819" stopIfTrue="1" id="{CA364EB9-78EF-4F2D-88EC-5965D454D2A3}">
            <xm:f>AND(IF(O192&lt;'Plan de Accion 2018'!AH110,O192&lt;&gt;"N/A"))</xm:f>
            <x14:dxf>
              <fill>
                <patternFill>
                  <bgColor indexed="10"/>
                </patternFill>
              </fill>
            </x14:dxf>
          </x14:cfRule>
          <xm:sqref>O192:O195</xm:sqref>
        </x14:conditionalFormatting>
        <x14:conditionalFormatting xmlns:xm="http://schemas.microsoft.com/office/excel/2006/main">
          <x14:cfRule type="expression" priority="5811" id="{14142AA0-DF71-42F5-A751-99335CD5EC05}">
            <xm:f>AND(IF(O196&gt;'Plan de Accion 2018'!AH115,O196&lt;&gt;¨N/A¨))</xm:f>
            <x14:dxf>
              <fill>
                <patternFill>
                  <bgColor theme="1" tint="0.499984740745262"/>
                </patternFill>
              </fill>
            </x14:dxf>
          </x14:cfRule>
          <x14:cfRule type="expression" priority="5812" stopIfTrue="1" id="{1B564A17-ED10-4DD2-A0A8-FADEECB7CCF5}">
            <xm:f>AND(IF(O196='Plan de Accion 2018'!AH115,O196&lt;&gt;"N/A"))</xm:f>
            <x14:dxf>
              <fill>
                <patternFill>
                  <bgColor rgb="FF00B050"/>
                </patternFill>
              </fill>
            </x14:dxf>
          </x14:cfRule>
          <x14:cfRule type="expression" priority="5813" stopIfTrue="1" id="{D3366F6E-EEC0-4121-89CE-1B0C0AA75AAC}">
            <xm:f>AND(IF(O196&lt;'Plan de Accion 2018'!AH115,O196&lt;&gt;"N/A"))</xm:f>
            <x14:dxf>
              <fill>
                <patternFill>
                  <bgColor indexed="10"/>
                </patternFill>
              </fill>
            </x14:dxf>
          </x14:cfRule>
          <xm:sqref>O196:O199</xm:sqref>
        </x14:conditionalFormatting>
        <x14:conditionalFormatting xmlns:xm="http://schemas.microsoft.com/office/excel/2006/main">
          <x14:cfRule type="expression" priority="5790" id="{1F2EC599-4B16-48F9-B02D-34F2E440CF93}">
            <xm:f>AND(IF(O204&gt;'Plan de Accion 2018'!AH63,O204&lt;&gt;¨N/A¨))</xm:f>
            <x14:dxf>
              <fill>
                <patternFill>
                  <bgColor theme="1" tint="0.499984740745262"/>
                </patternFill>
              </fill>
            </x14:dxf>
          </x14:cfRule>
          <x14:cfRule type="expression" priority="5791" stopIfTrue="1" id="{01894C9A-82C1-452C-9179-94E5F3BF6068}">
            <xm:f>AND(IF(O204='Plan de Accion 2018'!AH63,O204&lt;&gt;"N/A"))</xm:f>
            <x14:dxf>
              <fill>
                <patternFill>
                  <bgColor rgb="FF00B050"/>
                </patternFill>
              </fill>
            </x14:dxf>
          </x14:cfRule>
          <x14:cfRule type="expression" priority="5792" stopIfTrue="1" id="{8C939E41-33DE-4B9D-931F-810A9F2AE403}">
            <xm:f>AND(IF(O204&lt;'Plan de Accion 2018'!AH63,O204&lt;&gt;"N/A"))</xm:f>
            <x14:dxf>
              <fill>
                <patternFill>
                  <bgColor indexed="10"/>
                </patternFill>
              </fill>
            </x14:dxf>
          </x14:cfRule>
          <xm:sqref>O204</xm:sqref>
        </x14:conditionalFormatting>
        <x14:conditionalFormatting xmlns:xm="http://schemas.microsoft.com/office/excel/2006/main">
          <x14:cfRule type="expression" priority="5787" id="{64A3840A-A2FA-49AE-B681-3D696F15B322}">
            <xm:f>AND(IF(O205&gt;'Plan de Accion 2018'!AH71,O205&lt;&gt;¨N/A¨))</xm:f>
            <x14:dxf>
              <fill>
                <patternFill>
                  <bgColor theme="1" tint="0.499984740745262"/>
                </patternFill>
              </fill>
            </x14:dxf>
          </x14:cfRule>
          <x14:cfRule type="expression" priority="5788" stopIfTrue="1" id="{87219508-3DCC-4822-9220-AB6F48D6348C}">
            <xm:f>AND(IF(O205='Plan de Accion 2018'!AH71,O205&lt;&gt;"N/A"))</xm:f>
            <x14:dxf>
              <fill>
                <patternFill>
                  <bgColor rgb="FF00B050"/>
                </patternFill>
              </fill>
            </x14:dxf>
          </x14:cfRule>
          <x14:cfRule type="expression" priority="5789" stopIfTrue="1" id="{73EB2442-9802-44C1-996B-D158588F991F}">
            <xm:f>AND(IF(O205&lt;'Plan de Accion 2018'!AH71,O205&lt;&gt;"N/A"))</xm:f>
            <x14:dxf>
              <fill>
                <patternFill>
                  <bgColor indexed="10"/>
                </patternFill>
              </fill>
            </x14:dxf>
          </x14:cfRule>
          <xm:sqref>O205</xm:sqref>
        </x14:conditionalFormatting>
        <x14:conditionalFormatting xmlns:xm="http://schemas.microsoft.com/office/excel/2006/main">
          <x14:cfRule type="expression" priority="5784" id="{78CCB6B2-466D-4D27-A6B1-C17EBC82C0AA}">
            <xm:f>AND(IF(O207&gt;'Plan de Accion 2018'!AH79,O207&lt;&gt;¨N/A¨))</xm:f>
            <x14:dxf>
              <fill>
                <patternFill>
                  <bgColor theme="1" tint="0.499984740745262"/>
                </patternFill>
              </fill>
            </x14:dxf>
          </x14:cfRule>
          <x14:cfRule type="expression" priority="5785" stopIfTrue="1" id="{260393C6-A83A-4FCD-B6B1-6F07869E18D3}">
            <xm:f>AND(IF(O207='Plan de Accion 2018'!AH79,O207&lt;&gt;"N/A"))</xm:f>
            <x14:dxf>
              <fill>
                <patternFill>
                  <bgColor rgb="FF00B050"/>
                </patternFill>
              </fill>
            </x14:dxf>
          </x14:cfRule>
          <x14:cfRule type="expression" priority="5786" stopIfTrue="1" id="{E43A1C0A-FA9C-43B5-97DA-0A89C1832DC6}">
            <xm:f>AND(IF(O207&lt;'Plan de Accion 2018'!AH79,O207&lt;&gt;"N/A"))</xm:f>
            <x14:dxf>
              <fill>
                <patternFill>
                  <bgColor indexed="10"/>
                </patternFill>
              </fill>
            </x14:dxf>
          </x14:cfRule>
          <xm:sqref>O207</xm:sqref>
        </x14:conditionalFormatting>
        <x14:conditionalFormatting xmlns:xm="http://schemas.microsoft.com/office/excel/2006/main">
          <x14:cfRule type="expression" priority="5775" id="{D188112E-B719-454C-979C-713418E52C28}">
            <xm:f>AND(IF(O211&gt;'Plan de Accion 2018'!AH73,O211&lt;&gt;¨N/A¨))</xm:f>
            <x14:dxf>
              <fill>
                <patternFill>
                  <bgColor theme="1" tint="0.499984740745262"/>
                </patternFill>
              </fill>
            </x14:dxf>
          </x14:cfRule>
          <x14:cfRule type="expression" priority="5776" stopIfTrue="1" id="{B175742A-6386-4E2E-85DD-812B5245FE1E}">
            <xm:f>AND(IF(O211='Plan de Accion 2018'!AH73,O211&lt;&gt;"N/A"))</xm:f>
            <x14:dxf>
              <fill>
                <patternFill>
                  <bgColor rgb="FF00B050"/>
                </patternFill>
              </fill>
            </x14:dxf>
          </x14:cfRule>
          <x14:cfRule type="expression" priority="5777" stopIfTrue="1" id="{15808E98-4483-4E89-98AB-CFB36D88708F}">
            <xm:f>AND(IF(O211&lt;'Plan de Accion 2018'!AH73,O211&lt;&gt;"N/A"))</xm:f>
            <x14:dxf>
              <fill>
                <patternFill>
                  <bgColor indexed="10"/>
                </patternFill>
              </fill>
            </x14:dxf>
          </x14:cfRule>
          <xm:sqref>O211</xm:sqref>
        </x14:conditionalFormatting>
        <x14:conditionalFormatting xmlns:xm="http://schemas.microsoft.com/office/excel/2006/main">
          <x14:cfRule type="expression" priority="5772" id="{A5B9E652-8F7B-446E-BFD9-F83A5466864A}">
            <xm:f>AND(IF(O212&gt;'Plan de Accion 2018'!AH129,O212&lt;&gt;¨N/A¨))</xm:f>
            <x14:dxf>
              <fill>
                <patternFill>
                  <bgColor theme="1" tint="0.499984740745262"/>
                </patternFill>
              </fill>
            </x14:dxf>
          </x14:cfRule>
          <x14:cfRule type="expression" priority="5773" stopIfTrue="1" id="{08ADF7B6-257C-4ED3-A3FB-98F7523364B9}">
            <xm:f>AND(IF(O212='Plan de Accion 2018'!AH129,O212&lt;&gt;"N/A"))</xm:f>
            <x14:dxf>
              <fill>
                <patternFill>
                  <bgColor rgb="FF00B050"/>
                </patternFill>
              </fill>
            </x14:dxf>
          </x14:cfRule>
          <x14:cfRule type="expression" priority="5774" stopIfTrue="1" id="{1121CD45-62B9-4833-A6A1-1896894D7864}">
            <xm:f>AND(IF(O212&lt;'Plan de Accion 2018'!AH129,O212&lt;&gt;"N/A"))</xm:f>
            <x14:dxf>
              <fill>
                <patternFill>
                  <bgColor indexed="10"/>
                </patternFill>
              </fill>
            </x14:dxf>
          </x14:cfRule>
          <xm:sqref>O212:O214</xm:sqref>
        </x14:conditionalFormatting>
        <x14:conditionalFormatting xmlns:xm="http://schemas.microsoft.com/office/excel/2006/main">
          <x14:cfRule type="expression" priority="5757" id="{E4664697-7FD8-4A50-AF54-F2DEBF862091}">
            <xm:f>AND(IF(O220&gt;'Plan de Accion 2018'!AH101,O220&lt;&gt;¨N/A¨))</xm:f>
            <x14:dxf>
              <fill>
                <patternFill>
                  <bgColor theme="1" tint="0.499984740745262"/>
                </patternFill>
              </fill>
            </x14:dxf>
          </x14:cfRule>
          <x14:cfRule type="expression" priority="5758" stopIfTrue="1" id="{03452113-1A33-45B9-AB30-65B96F877BD4}">
            <xm:f>AND(IF(O220='Plan de Accion 2018'!AH101,O220&lt;&gt;"N/A"))</xm:f>
            <x14:dxf>
              <fill>
                <patternFill>
                  <bgColor rgb="FF00B050"/>
                </patternFill>
              </fill>
            </x14:dxf>
          </x14:cfRule>
          <x14:cfRule type="expression" priority="5759" stopIfTrue="1" id="{67A10020-4359-4BE0-B26F-72D85DD1D570}">
            <xm:f>AND(IF(O220&lt;'Plan de Accion 2018'!AH101,O220&lt;&gt;"N/A"))</xm:f>
            <x14:dxf>
              <fill>
                <patternFill>
                  <bgColor indexed="10"/>
                </patternFill>
              </fill>
            </x14:dxf>
          </x14:cfRule>
          <xm:sqref>O220:O221</xm:sqref>
        </x14:conditionalFormatting>
        <x14:conditionalFormatting xmlns:xm="http://schemas.microsoft.com/office/excel/2006/main">
          <x14:cfRule type="expression" priority="5751" id="{9AACE797-51CB-4031-A1AD-EAB404204988}">
            <xm:f>AND(IF(O222&gt;'Plan de Accion 2018'!AH121,O222&lt;&gt;¨N/A¨))</xm:f>
            <x14:dxf>
              <fill>
                <patternFill>
                  <bgColor theme="1" tint="0.499984740745262"/>
                </patternFill>
              </fill>
            </x14:dxf>
          </x14:cfRule>
          <x14:cfRule type="expression" priority="5752" stopIfTrue="1" id="{CE20B04A-7A2B-4EA3-B378-71D1BAE8D37C}">
            <xm:f>AND(IF(O222='Plan de Accion 2018'!AH121,O222&lt;&gt;"N/A"))</xm:f>
            <x14:dxf>
              <fill>
                <patternFill>
                  <bgColor rgb="FF00B050"/>
                </patternFill>
              </fill>
            </x14:dxf>
          </x14:cfRule>
          <x14:cfRule type="expression" priority="5753" stopIfTrue="1" id="{9B107B35-DB0E-4D8C-8D30-A5369EE88043}">
            <xm:f>AND(IF(O222&lt;'Plan de Accion 2018'!AH121,O222&lt;&gt;"N/A"))</xm:f>
            <x14:dxf>
              <fill>
                <patternFill>
                  <bgColor indexed="10"/>
                </patternFill>
              </fill>
            </x14:dxf>
          </x14:cfRule>
          <xm:sqref>O222</xm:sqref>
        </x14:conditionalFormatting>
        <x14:conditionalFormatting xmlns:xm="http://schemas.microsoft.com/office/excel/2006/main">
          <x14:cfRule type="expression" priority="5748" id="{1E9D69AB-0694-4271-A68A-4C2AB9749529}">
            <xm:f>AND(IF(V78&gt;'Plan de Accion 2018'!AR150,V78&lt;&gt;¨N/A¨))</xm:f>
            <x14:dxf>
              <fill>
                <patternFill>
                  <bgColor theme="1" tint="0.499984740745262"/>
                </patternFill>
              </fill>
            </x14:dxf>
          </x14:cfRule>
          <x14:cfRule type="expression" priority="5749" stopIfTrue="1" id="{4E1C9FBB-41B3-44CB-8BA4-A08122D92C7D}">
            <xm:f>AND(IF(V78='Plan de Accion 2018'!AR150,V78&lt;&gt;"N/A"))</xm:f>
            <x14:dxf>
              <fill>
                <patternFill>
                  <bgColor rgb="FF00B050"/>
                </patternFill>
              </fill>
            </x14:dxf>
          </x14:cfRule>
          <x14:cfRule type="expression" priority="5750" stopIfTrue="1" id="{D99BA996-213D-4FC8-8A8E-4DBA63D9A2A4}">
            <xm:f>AND(IF(V78&lt;'Plan de Accion 2018'!AR150,V78&lt;&gt;"N/A"))</xm:f>
            <x14:dxf>
              <fill>
                <patternFill>
                  <bgColor indexed="10"/>
                </patternFill>
              </fill>
            </x14:dxf>
          </x14:cfRule>
          <xm:sqref>V78:V81</xm:sqref>
        </x14:conditionalFormatting>
        <x14:conditionalFormatting xmlns:xm="http://schemas.microsoft.com/office/excel/2006/main">
          <x14:cfRule type="expression" priority="5745" id="{2FFED81D-AD1A-4481-837F-6CA01CE302AC}">
            <xm:f>AND(IF(AC78&gt;'Plan de Accion 2018'!BB150,AC78&lt;&gt;¨N/A¨))</xm:f>
            <x14:dxf>
              <fill>
                <patternFill>
                  <bgColor theme="1" tint="0.499984740745262"/>
                </patternFill>
              </fill>
            </x14:dxf>
          </x14:cfRule>
          <x14:cfRule type="expression" priority="5746" stopIfTrue="1" id="{0FEA846A-70C0-400C-BAA0-0FD9AE5191E1}">
            <xm:f>AND(IF(AC78='Plan de Accion 2018'!BB150,AC78&lt;&gt;"N/A"))</xm:f>
            <x14:dxf>
              <fill>
                <patternFill>
                  <bgColor rgb="FF00B050"/>
                </patternFill>
              </fill>
            </x14:dxf>
          </x14:cfRule>
          <x14:cfRule type="expression" priority="5747" stopIfTrue="1" id="{EB7A37DA-053C-4544-BFEF-0EEE9C93918E}">
            <xm:f>AND(IF(AC78&lt;'Plan de Accion 2018'!BB150,AC78&lt;&gt;"N/A"))</xm:f>
            <x14:dxf>
              <fill>
                <patternFill>
                  <bgColor indexed="10"/>
                </patternFill>
              </fill>
            </x14:dxf>
          </x14:cfRule>
          <xm:sqref>AC78:AC81</xm:sqref>
        </x14:conditionalFormatting>
        <x14:conditionalFormatting xmlns:xm="http://schemas.microsoft.com/office/excel/2006/main">
          <x14:cfRule type="expression" priority="5727" id="{D1CB3311-D836-41E6-B3AB-7678E78BDC55}">
            <xm:f>AND(IF(V18&gt;'Plan de Accion 2018'!AR145,V18&lt;&gt;¨N/A¨))</xm:f>
            <x14:dxf>
              <fill>
                <patternFill>
                  <bgColor theme="1" tint="0.499984740745262"/>
                </patternFill>
              </fill>
            </x14:dxf>
          </x14:cfRule>
          <x14:cfRule type="expression" priority="5728" stopIfTrue="1" id="{55B111B2-4E59-4451-82EB-0C191B9BC210}">
            <xm:f>AND(IF(V18='Plan de Accion 2018'!AR145,V18&lt;&gt;"N/A"))</xm:f>
            <x14:dxf>
              <fill>
                <patternFill>
                  <bgColor rgb="FF00B050"/>
                </patternFill>
              </fill>
            </x14:dxf>
          </x14:cfRule>
          <x14:cfRule type="expression" priority="5729" stopIfTrue="1" id="{ECB205B8-E0C7-4EA9-A0AC-6997DB31D9ED}">
            <xm:f>AND(IF(V18&lt;'Plan de Accion 2018'!AR145,V18&lt;&gt;"N/A"))</xm:f>
            <x14:dxf>
              <fill>
                <patternFill>
                  <bgColor indexed="10"/>
                </patternFill>
              </fill>
            </x14:dxf>
          </x14:cfRule>
          <xm:sqref>V18</xm:sqref>
        </x14:conditionalFormatting>
        <x14:conditionalFormatting xmlns:xm="http://schemas.microsoft.com/office/excel/2006/main">
          <x14:cfRule type="expression" priority="5724" id="{20CED6E8-6615-4E2C-9AEA-CD1A439C0C91}">
            <xm:f>AND(IF(V19&gt;'Plan de Accion 2018'!AR103,V19&lt;&gt;¨N/A¨))</xm:f>
            <x14:dxf>
              <fill>
                <patternFill>
                  <bgColor theme="1" tint="0.499984740745262"/>
                </patternFill>
              </fill>
            </x14:dxf>
          </x14:cfRule>
          <x14:cfRule type="expression" priority="5725" stopIfTrue="1" id="{63C3187A-EA12-4E37-8DBE-12D9DA5B6AF1}">
            <xm:f>AND(IF(V19='Plan de Accion 2018'!AR103,V19&lt;&gt;"N/A"))</xm:f>
            <x14:dxf>
              <fill>
                <patternFill>
                  <bgColor rgb="FF00B050"/>
                </patternFill>
              </fill>
            </x14:dxf>
          </x14:cfRule>
          <x14:cfRule type="expression" priority="5726" stopIfTrue="1" id="{AE0DF9C7-65D7-4679-90FA-977FB463C6A3}">
            <xm:f>AND(IF(V19&lt;'Plan de Accion 2018'!AR103,V19&lt;&gt;"N/A"))</xm:f>
            <x14:dxf>
              <fill>
                <patternFill>
                  <bgColor indexed="10"/>
                </patternFill>
              </fill>
            </x14:dxf>
          </x14:cfRule>
          <xm:sqref>V19</xm:sqref>
        </x14:conditionalFormatting>
        <x14:conditionalFormatting xmlns:xm="http://schemas.microsoft.com/office/excel/2006/main">
          <x14:cfRule type="expression" priority="5721" id="{005B194A-89AF-48EB-A777-A38E0E98A52D}">
            <xm:f>AND(IF(V20&gt;'Plan de Accion 2018'!AR108,V20&lt;&gt;¨N/A¨))</xm:f>
            <x14:dxf>
              <fill>
                <patternFill>
                  <bgColor theme="1" tint="0.499984740745262"/>
                </patternFill>
              </fill>
            </x14:dxf>
          </x14:cfRule>
          <x14:cfRule type="expression" priority="5722" stopIfTrue="1" id="{531E85F9-CD52-4078-A056-79717E7F7CA8}">
            <xm:f>AND(IF(V20='Plan de Accion 2018'!AR108,V20&lt;&gt;"N/A"))</xm:f>
            <x14:dxf>
              <fill>
                <patternFill>
                  <bgColor rgb="FF00B050"/>
                </patternFill>
              </fill>
            </x14:dxf>
          </x14:cfRule>
          <x14:cfRule type="expression" priority="5723" stopIfTrue="1" id="{4A73A318-2AC9-46EB-B853-696DC940C9CF}">
            <xm:f>AND(IF(V20&lt;'Plan de Accion 2018'!AR108,V20&lt;&gt;"N/A"))</xm:f>
            <x14:dxf>
              <fill>
                <patternFill>
                  <bgColor indexed="10"/>
                </patternFill>
              </fill>
            </x14:dxf>
          </x14:cfRule>
          <xm:sqref>V20:V21</xm:sqref>
        </x14:conditionalFormatting>
        <x14:conditionalFormatting xmlns:xm="http://schemas.microsoft.com/office/excel/2006/main">
          <x14:cfRule type="expression" priority="5715" id="{C70C1D6A-B4DE-47B3-80BD-9A18C91A56F4}">
            <xm:f>AND(IF(V22&gt;'Plan de Accion 2018'!AR112,V22&lt;&gt;¨N/A¨))</xm:f>
            <x14:dxf>
              <fill>
                <patternFill>
                  <bgColor theme="1" tint="0.499984740745262"/>
                </patternFill>
              </fill>
            </x14:dxf>
          </x14:cfRule>
          <x14:cfRule type="expression" priority="5716" stopIfTrue="1" id="{A3F2AE33-D399-4F76-B3AA-6876B78E98A1}">
            <xm:f>AND(IF(V22='Plan de Accion 2018'!AR112,V22&lt;&gt;"N/A"))</xm:f>
            <x14:dxf>
              <fill>
                <patternFill>
                  <bgColor rgb="FF00B050"/>
                </patternFill>
              </fill>
            </x14:dxf>
          </x14:cfRule>
          <x14:cfRule type="expression" priority="5717" stopIfTrue="1" id="{5C4AD753-92A9-4A33-86E7-14C63F80DE03}">
            <xm:f>AND(IF(V22&lt;'Plan de Accion 2018'!AR112,V22&lt;&gt;"N/A"))</xm:f>
            <x14:dxf>
              <fill>
                <patternFill>
                  <bgColor indexed="10"/>
                </patternFill>
              </fill>
            </x14:dxf>
          </x14:cfRule>
          <xm:sqref>V22</xm:sqref>
        </x14:conditionalFormatting>
        <x14:conditionalFormatting xmlns:xm="http://schemas.microsoft.com/office/excel/2006/main">
          <x14:cfRule type="expression" priority="5700" id="{E2AF93F4-8EA9-4460-AC38-B85743843E85}">
            <xm:f>AND(IF(V28&gt;'Plan de Accion 2018'!AR110,V28&lt;&gt;¨N/A¨))</xm:f>
            <x14:dxf>
              <fill>
                <patternFill>
                  <bgColor theme="1" tint="0.499984740745262"/>
                </patternFill>
              </fill>
            </x14:dxf>
          </x14:cfRule>
          <x14:cfRule type="expression" priority="5701" stopIfTrue="1" id="{A1E6F794-B957-4B81-BCF8-307C25972A31}">
            <xm:f>AND(IF(V28='Plan de Accion 2018'!AR110,V28&lt;&gt;"N/A"))</xm:f>
            <x14:dxf>
              <fill>
                <patternFill>
                  <bgColor rgb="FF00B050"/>
                </patternFill>
              </fill>
            </x14:dxf>
          </x14:cfRule>
          <x14:cfRule type="expression" priority="5702" stopIfTrue="1" id="{9EC8FCF7-B7BF-4CCE-AF5D-5D16E4718096}">
            <xm:f>AND(IF(V28&lt;'Plan de Accion 2018'!AR110,V28&lt;&gt;"N/A"))</xm:f>
            <x14:dxf>
              <fill>
                <patternFill>
                  <bgColor indexed="10"/>
                </patternFill>
              </fill>
            </x14:dxf>
          </x14:cfRule>
          <xm:sqref>V28:V29 V31:V34</xm:sqref>
        </x14:conditionalFormatting>
        <x14:conditionalFormatting xmlns:xm="http://schemas.microsoft.com/office/excel/2006/main">
          <x14:cfRule type="expression" priority="5688" id="{BF0B6E22-C3CC-4C42-9795-C057E74E35B4}">
            <xm:f>AND(IF(V156&gt;'Plan de Accion 2018'!AR125,V156&lt;&gt;¨N/A¨))</xm:f>
            <x14:dxf>
              <fill>
                <patternFill>
                  <bgColor theme="1" tint="0.499984740745262"/>
                </patternFill>
              </fill>
            </x14:dxf>
          </x14:cfRule>
          <x14:cfRule type="expression" priority="5689" stopIfTrue="1" id="{F7F13A01-E500-42DC-A464-DBA4E4165846}">
            <xm:f>AND(IF(V156='Plan de Accion 2018'!AR125,V156&lt;&gt;"N/A"))</xm:f>
            <x14:dxf>
              <fill>
                <patternFill>
                  <bgColor rgb="FF00B050"/>
                </patternFill>
              </fill>
            </x14:dxf>
          </x14:cfRule>
          <x14:cfRule type="expression" priority="5690" stopIfTrue="1" id="{D632523A-3DAB-4891-8B8A-AF2BA91F875F}">
            <xm:f>AND(IF(V156&lt;'Plan de Accion 2018'!AR125,V156&lt;&gt;"N/A"))</xm:f>
            <x14:dxf>
              <fill>
                <patternFill>
                  <bgColor indexed="10"/>
                </patternFill>
              </fill>
            </x14:dxf>
          </x14:cfRule>
          <xm:sqref>V156:V159</xm:sqref>
        </x14:conditionalFormatting>
        <x14:conditionalFormatting xmlns:xm="http://schemas.microsoft.com/office/excel/2006/main">
          <x14:cfRule type="expression" priority="5682" id="{ADE71894-A4CD-489D-ABA0-427EFB165093}">
            <xm:f>AND(IF(V36&gt;'Plan de Accion 2018'!AR142,V36&lt;&gt;¨N/A¨))</xm:f>
            <x14:dxf>
              <fill>
                <patternFill>
                  <bgColor theme="1" tint="0.499984740745262"/>
                </patternFill>
              </fill>
            </x14:dxf>
          </x14:cfRule>
          <x14:cfRule type="expression" priority="5683" stopIfTrue="1" id="{BDAA8F36-C6DB-4F9D-9DB5-6B86DD7252C8}">
            <xm:f>AND(IF(V36='Plan de Accion 2018'!AR142,V36&lt;&gt;"N/A"))</xm:f>
            <x14:dxf>
              <fill>
                <patternFill>
                  <bgColor rgb="FF00B050"/>
                </patternFill>
              </fill>
            </x14:dxf>
          </x14:cfRule>
          <x14:cfRule type="expression" priority="5684" stopIfTrue="1" id="{6F942E34-5ECC-40CA-A81D-25B062776FC3}">
            <xm:f>AND(IF(V36&lt;'Plan de Accion 2018'!AR142,V36&lt;&gt;"N/A"))</xm:f>
            <x14:dxf>
              <fill>
                <patternFill>
                  <bgColor indexed="10"/>
                </patternFill>
              </fill>
            </x14:dxf>
          </x14:cfRule>
          <xm:sqref>V36</xm:sqref>
        </x14:conditionalFormatting>
        <x14:conditionalFormatting xmlns:xm="http://schemas.microsoft.com/office/excel/2006/main">
          <x14:cfRule type="expression" priority="5607" id="{CBD4CABE-BD69-41CA-A75A-267E0931AD82}">
            <xm:f>AND(IF(V160&gt;'Plan de Accion 2018'!AR132,V160&lt;&gt;¨N/A¨))</xm:f>
            <x14:dxf>
              <fill>
                <patternFill>
                  <bgColor theme="1" tint="0.499984740745262"/>
                </patternFill>
              </fill>
            </x14:dxf>
          </x14:cfRule>
          <x14:cfRule type="expression" priority="5608" stopIfTrue="1" id="{EA243B99-C1ED-4CFC-891F-3EB62BFCC292}">
            <xm:f>AND(IF(V160='Plan de Accion 2018'!AR132,V160&lt;&gt;"N/A"))</xm:f>
            <x14:dxf>
              <fill>
                <patternFill>
                  <bgColor rgb="FF00B050"/>
                </patternFill>
              </fill>
            </x14:dxf>
          </x14:cfRule>
          <x14:cfRule type="expression" priority="5609" stopIfTrue="1" id="{1EF57BF8-53CA-42FA-95BF-87753B17536F}">
            <xm:f>AND(IF(V160&lt;'Plan de Accion 2018'!AR132,V160&lt;&gt;"N/A"))</xm:f>
            <x14:dxf>
              <fill>
                <patternFill>
                  <bgColor indexed="10"/>
                </patternFill>
              </fill>
            </x14:dxf>
          </x14:cfRule>
          <xm:sqref>V160:V162</xm:sqref>
        </x14:conditionalFormatting>
        <x14:conditionalFormatting xmlns:xm="http://schemas.microsoft.com/office/excel/2006/main">
          <x14:cfRule type="expression" priority="5598" id="{1F3DE2B5-A54D-4475-A3E6-C7E9D18323ED}">
            <xm:f>AND(IF(V66&gt;'Plan de Accion 2018'!AR80,V66&lt;&gt;¨N/A¨))</xm:f>
            <x14:dxf>
              <fill>
                <patternFill>
                  <bgColor theme="1" tint="0.499984740745262"/>
                </patternFill>
              </fill>
            </x14:dxf>
          </x14:cfRule>
          <x14:cfRule type="expression" priority="5599" stopIfTrue="1" id="{84D24D04-D58F-42BA-8550-283B3EABAEB2}">
            <xm:f>AND(IF(V66='Plan de Accion 2018'!AR80,V66&lt;&gt;"N/A"))</xm:f>
            <x14:dxf>
              <fill>
                <patternFill>
                  <bgColor rgb="FF00B050"/>
                </patternFill>
              </fill>
            </x14:dxf>
          </x14:cfRule>
          <x14:cfRule type="expression" priority="5600" stopIfTrue="1" id="{5B2623EA-C437-49AC-96DD-0EC5EF9260D7}">
            <xm:f>AND(IF(V66&lt;'Plan de Accion 2018'!AR80,V66&lt;&gt;"N/A"))</xm:f>
            <x14:dxf>
              <fill>
                <patternFill>
                  <bgColor indexed="10"/>
                </patternFill>
              </fill>
            </x14:dxf>
          </x14:cfRule>
          <xm:sqref>V66:V68</xm:sqref>
        </x14:conditionalFormatting>
        <x14:conditionalFormatting xmlns:xm="http://schemas.microsoft.com/office/excel/2006/main">
          <x14:cfRule type="expression" priority="5589" id="{5AA9FA82-88C6-47B4-A9C5-AB62C4C976BB}">
            <xm:f>AND(IF(V69&gt;'Plan de Accion 2018'!AR85,V69&lt;&gt;¨N/A¨))</xm:f>
            <x14:dxf>
              <fill>
                <patternFill>
                  <bgColor theme="1" tint="0.499984740745262"/>
                </patternFill>
              </fill>
            </x14:dxf>
          </x14:cfRule>
          <x14:cfRule type="expression" priority="5590" stopIfTrue="1" id="{5DE29CBC-7262-432B-97FD-F5512263C894}">
            <xm:f>AND(IF(V69='Plan de Accion 2018'!AR85,V69&lt;&gt;"N/A"))</xm:f>
            <x14:dxf>
              <fill>
                <patternFill>
                  <bgColor rgb="FF00B050"/>
                </patternFill>
              </fill>
            </x14:dxf>
          </x14:cfRule>
          <x14:cfRule type="expression" priority="5591" stopIfTrue="1" id="{BDF1E6F5-9B70-4727-A8E1-3D3ADC259AA9}">
            <xm:f>AND(IF(V69&lt;'Plan de Accion 2018'!AR85,V69&lt;&gt;"N/A"))</xm:f>
            <x14:dxf>
              <fill>
                <patternFill>
                  <bgColor indexed="10"/>
                </patternFill>
              </fill>
            </x14:dxf>
          </x14:cfRule>
          <xm:sqref>V69:V74</xm:sqref>
        </x14:conditionalFormatting>
        <x14:conditionalFormatting xmlns:xm="http://schemas.microsoft.com/office/excel/2006/main">
          <x14:cfRule type="expression" priority="5577" id="{E2E55D6E-D7CB-417B-A685-D48A4F2C5568}">
            <xm:f>AND(IF(V75&gt;'Plan de Accion 2018'!AR83,V75&lt;&gt;¨N/A¨))</xm:f>
            <x14:dxf>
              <fill>
                <patternFill>
                  <bgColor theme="1" tint="0.499984740745262"/>
                </patternFill>
              </fill>
            </x14:dxf>
          </x14:cfRule>
          <x14:cfRule type="expression" priority="5578" stopIfTrue="1" id="{9220BF4C-2DC1-40B4-9AB3-06C358C647EB}">
            <xm:f>AND(IF(V75='Plan de Accion 2018'!AR83,V75&lt;&gt;"N/A"))</xm:f>
            <x14:dxf>
              <fill>
                <patternFill>
                  <bgColor rgb="FF00B050"/>
                </patternFill>
              </fill>
            </x14:dxf>
          </x14:cfRule>
          <x14:cfRule type="expression" priority="5579" stopIfTrue="1" id="{4A1A161B-C54F-404F-8ACE-A1E38370CC48}">
            <xm:f>AND(IF(V75&lt;'Plan de Accion 2018'!AR83,V75&lt;&gt;"N/A"))</xm:f>
            <x14:dxf>
              <fill>
                <patternFill>
                  <bgColor indexed="10"/>
                </patternFill>
              </fill>
            </x14:dxf>
          </x14:cfRule>
          <xm:sqref>V75:V76</xm:sqref>
        </x14:conditionalFormatting>
        <x14:conditionalFormatting xmlns:xm="http://schemas.microsoft.com/office/excel/2006/main">
          <x14:cfRule type="expression" priority="5565" id="{938DC9C6-9122-47A7-8C53-26337052D67A}">
            <xm:f>AND(IF(V82&gt;'Plan de Accion 2018'!AR138,V82&lt;&gt;¨N/A¨))</xm:f>
            <x14:dxf>
              <fill>
                <patternFill>
                  <bgColor theme="1" tint="0.499984740745262"/>
                </patternFill>
              </fill>
            </x14:dxf>
          </x14:cfRule>
          <x14:cfRule type="expression" priority="5566" stopIfTrue="1" id="{96158919-75C2-43C1-B95F-F4C5C31BFAAC}">
            <xm:f>AND(IF(V82='Plan de Accion 2018'!AR138,V82&lt;&gt;"N/A"))</xm:f>
            <x14:dxf>
              <fill>
                <patternFill>
                  <bgColor rgb="FF00B050"/>
                </patternFill>
              </fill>
            </x14:dxf>
          </x14:cfRule>
          <x14:cfRule type="expression" priority="5567" stopIfTrue="1" id="{D0D1BA5D-501E-4566-8C22-EEFC52B65192}">
            <xm:f>AND(IF(V82&lt;'Plan de Accion 2018'!AR138,V82&lt;&gt;"N/A"))</xm:f>
            <x14:dxf>
              <fill>
                <patternFill>
                  <bgColor indexed="10"/>
                </patternFill>
              </fill>
            </x14:dxf>
          </x14:cfRule>
          <xm:sqref>V82</xm:sqref>
        </x14:conditionalFormatting>
        <x14:conditionalFormatting xmlns:xm="http://schemas.microsoft.com/office/excel/2006/main">
          <x14:cfRule type="expression" priority="5562" id="{7214446E-AFA4-4AF2-9034-B7F1E2C2CB7C}">
            <xm:f>AND(IF(V83&gt;'Plan de Accion 2018'!AR147,V83&lt;&gt;¨N/A¨))</xm:f>
            <x14:dxf>
              <fill>
                <patternFill>
                  <bgColor theme="1" tint="0.499984740745262"/>
                </patternFill>
              </fill>
            </x14:dxf>
          </x14:cfRule>
          <x14:cfRule type="expression" priority="5563" stopIfTrue="1" id="{44323CC4-0625-474B-89F1-706E902740AF}">
            <xm:f>AND(IF(V83='Plan de Accion 2018'!AR147,V83&lt;&gt;"N/A"))</xm:f>
            <x14:dxf>
              <fill>
                <patternFill>
                  <bgColor rgb="FF00B050"/>
                </patternFill>
              </fill>
            </x14:dxf>
          </x14:cfRule>
          <x14:cfRule type="expression" priority="5564" stopIfTrue="1" id="{D9CD71BD-775E-431B-8899-E5C8564B8809}">
            <xm:f>AND(IF(V83&lt;'Plan de Accion 2018'!AR147,V83&lt;&gt;"N/A"))</xm:f>
            <x14:dxf>
              <fill>
                <patternFill>
                  <bgColor indexed="10"/>
                </patternFill>
              </fill>
            </x14:dxf>
          </x14:cfRule>
          <xm:sqref>V83</xm:sqref>
        </x14:conditionalFormatting>
        <x14:conditionalFormatting xmlns:xm="http://schemas.microsoft.com/office/excel/2006/main">
          <x14:cfRule type="expression" priority="5559" id="{3B8999C0-4D6E-49FF-A3AD-AFAE071A9D3A}">
            <xm:f>AND(IF(V84&gt;'Plan de Accion 2018'!AR149,V84&lt;&gt;¨N/A¨))</xm:f>
            <x14:dxf>
              <fill>
                <patternFill>
                  <bgColor theme="1" tint="0.499984740745262"/>
                </patternFill>
              </fill>
            </x14:dxf>
          </x14:cfRule>
          <x14:cfRule type="expression" priority="5560" stopIfTrue="1" id="{50540924-E524-48A7-8938-8A92EB5EE45E}">
            <xm:f>AND(IF(V84='Plan de Accion 2018'!AR149,V84&lt;&gt;"N/A"))</xm:f>
            <x14:dxf>
              <fill>
                <patternFill>
                  <bgColor rgb="FF00B050"/>
                </patternFill>
              </fill>
            </x14:dxf>
          </x14:cfRule>
          <x14:cfRule type="expression" priority="5561" stopIfTrue="1" id="{7C45E433-A13F-4264-B9E4-9619E99EEF11}">
            <xm:f>AND(IF(V84&lt;'Plan de Accion 2018'!AR149,V84&lt;&gt;"N/A"))</xm:f>
            <x14:dxf>
              <fill>
                <patternFill>
                  <bgColor indexed="10"/>
                </patternFill>
              </fill>
            </x14:dxf>
          </x14:cfRule>
          <xm:sqref>V84</xm:sqref>
        </x14:conditionalFormatting>
        <x14:conditionalFormatting xmlns:xm="http://schemas.microsoft.com/office/excel/2006/main">
          <x14:cfRule type="expression" priority="5550" id="{7CAFB880-63C1-45F2-AE0D-C5FDDD53FA52}">
            <xm:f>AND(IF(V91&gt;'Plan de Accion 2018'!AR132,V91&lt;&gt;¨N/A¨))</xm:f>
            <x14:dxf>
              <fill>
                <patternFill>
                  <bgColor theme="1" tint="0.499984740745262"/>
                </patternFill>
              </fill>
            </x14:dxf>
          </x14:cfRule>
          <x14:cfRule type="expression" priority="5551" stopIfTrue="1" id="{F4BFE419-C8B3-40F3-BD37-8574935B65B1}">
            <xm:f>AND(IF(V91='Plan de Accion 2018'!AR132,V91&lt;&gt;"N/A"))</xm:f>
            <x14:dxf>
              <fill>
                <patternFill>
                  <bgColor rgb="FF00B050"/>
                </patternFill>
              </fill>
            </x14:dxf>
          </x14:cfRule>
          <x14:cfRule type="expression" priority="5552" stopIfTrue="1" id="{64151501-E84D-472A-865D-D4FE2F6C0D68}">
            <xm:f>AND(IF(V91&lt;'Plan de Accion 2018'!AR132,V91&lt;&gt;"N/A"))</xm:f>
            <x14:dxf>
              <fill>
                <patternFill>
                  <bgColor indexed="10"/>
                </patternFill>
              </fill>
            </x14:dxf>
          </x14:cfRule>
          <xm:sqref>V94 V91</xm:sqref>
        </x14:conditionalFormatting>
        <x14:conditionalFormatting xmlns:xm="http://schemas.microsoft.com/office/excel/2006/main">
          <x14:cfRule type="expression" priority="5539" id="{8289A572-244A-4381-BF93-BA2425C8B1FD}">
            <xm:f>AND(IF(V95&gt;'Plan de Accion 2018'!AR139,V95&lt;&gt;¨N/A¨))</xm:f>
            <x14:dxf>
              <fill>
                <patternFill>
                  <bgColor theme="1" tint="0.499984740745262"/>
                </patternFill>
              </fill>
            </x14:dxf>
          </x14:cfRule>
          <x14:cfRule type="expression" priority="5540" stopIfTrue="1" id="{05FF23D4-05A8-4770-A180-709299238506}">
            <xm:f>AND(IF(V95='Plan de Accion 2018'!AR139,V95&lt;&gt;"N/A"))</xm:f>
            <x14:dxf>
              <fill>
                <patternFill>
                  <bgColor rgb="FF00B050"/>
                </patternFill>
              </fill>
            </x14:dxf>
          </x14:cfRule>
          <x14:cfRule type="expression" priority="5541" stopIfTrue="1" id="{B9FB368F-5EAF-48DE-A6EB-7AA7914485C5}">
            <xm:f>AND(IF(V95&lt;'Plan de Accion 2018'!AR139,V95&lt;&gt;"N/A"))</xm:f>
            <x14:dxf>
              <fill>
                <patternFill>
                  <bgColor indexed="10"/>
                </patternFill>
              </fill>
            </x14:dxf>
          </x14:cfRule>
          <xm:sqref>V95</xm:sqref>
        </x14:conditionalFormatting>
        <x14:conditionalFormatting xmlns:xm="http://schemas.microsoft.com/office/excel/2006/main">
          <x14:cfRule type="expression" priority="5536" id="{FC618A84-395D-487C-B617-358218306A70}">
            <xm:f>AND(IF(V96&gt;'Plan de Accion 2018'!AR154,V96&lt;&gt;¨N/A¨))</xm:f>
            <x14:dxf>
              <fill>
                <patternFill>
                  <bgColor theme="1" tint="0.499984740745262"/>
                </patternFill>
              </fill>
            </x14:dxf>
          </x14:cfRule>
          <x14:cfRule type="expression" priority="5537" stopIfTrue="1" id="{638FA9B6-1473-4139-A07B-F6FD00261AB3}">
            <xm:f>AND(IF(V96='Plan de Accion 2018'!AR154,V96&lt;&gt;"N/A"))</xm:f>
            <x14:dxf>
              <fill>
                <patternFill>
                  <bgColor rgb="FF00B050"/>
                </patternFill>
              </fill>
            </x14:dxf>
          </x14:cfRule>
          <x14:cfRule type="expression" priority="5538" stopIfTrue="1" id="{D9366432-46FB-4F29-A57C-3C9403C854BE}">
            <xm:f>AND(IF(V96&lt;'Plan de Accion 2018'!AR154,V96&lt;&gt;"N/A"))</xm:f>
            <x14:dxf>
              <fill>
                <patternFill>
                  <bgColor indexed="10"/>
                </patternFill>
              </fill>
            </x14:dxf>
          </x14:cfRule>
          <xm:sqref>V96</xm:sqref>
        </x14:conditionalFormatting>
        <x14:conditionalFormatting xmlns:xm="http://schemas.microsoft.com/office/excel/2006/main">
          <x14:cfRule type="expression" priority="5533" id="{E3B1094F-0559-4BB0-9196-0E49F5D61E2F}">
            <xm:f>AND(IF(V35&gt;'Plan de Accion 2018'!AR9,V35&lt;&gt;¨N/A¨))</xm:f>
            <x14:dxf>
              <fill>
                <patternFill>
                  <bgColor theme="1" tint="0.499984740745262"/>
                </patternFill>
              </fill>
            </x14:dxf>
          </x14:cfRule>
          <x14:cfRule type="expression" priority="5534" stopIfTrue="1" id="{81B9F6A5-EA9B-4A4A-AA47-5D15D17C8ADC}">
            <xm:f>AND(IF(V35='Plan de Accion 2018'!AR9,V35&lt;&gt;"N/A"))</xm:f>
            <x14:dxf>
              <fill>
                <patternFill>
                  <bgColor rgb="FF00B050"/>
                </patternFill>
              </fill>
            </x14:dxf>
          </x14:cfRule>
          <x14:cfRule type="expression" priority="5535" stopIfTrue="1" id="{ADD318B2-7436-4371-AC4C-1F23F281412D}">
            <xm:f>AND(IF(V35&lt;'Plan de Accion 2018'!AR9,V35&lt;&gt;"N/A"))</xm:f>
            <x14:dxf>
              <fill>
                <patternFill>
                  <bgColor indexed="10"/>
                </patternFill>
              </fill>
            </x14:dxf>
          </x14:cfRule>
          <xm:sqref>V163 V35</xm:sqref>
        </x14:conditionalFormatting>
        <x14:conditionalFormatting xmlns:xm="http://schemas.microsoft.com/office/excel/2006/main">
          <x14:cfRule type="expression" priority="5530" id="{65AF48CA-FC9D-4E42-AECB-8D612DC1476F}">
            <xm:f>AND(IF(V175&gt;'Plan de Accion 2018'!AR122,V175&lt;&gt;¨N/A¨))</xm:f>
            <x14:dxf>
              <fill>
                <patternFill>
                  <bgColor theme="1" tint="0.499984740745262"/>
                </patternFill>
              </fill>
            </x14:dxf>
          </x14:cfRule>
          <x14:cfRule type="expression" priority="5531" stopIfTrue="1" id="{DE3A9B37-2057-47BE-832F-CD31597234B4}">
            <xm:f>AND(IF(V175='Plan de Accion 2018'!AR122,V175&lt;&gt;"N/A"))</xm:f>
            <x14:dxf>
              <fill>
                <patternFill>
                  <bgColor rgb="FF00B050"/>
                </patternFill>
              </fill>
            </x14:dxf>
          </x14:cfRule>
          <x14:cfRule type="expression" priority="5532" stopIfTrue="1" id="{01F47C49-371A-4783-8FE8-9CF46627B5B5}">
            <xm:f>AND(IF(V175&lt;'Plan de Accion 2018'!AR122,V175&lt;&gt;"N/A"))</xm:f>
            <x14:dxf>
              <fill>
                <patternFill>
                  <bgColor indexed="10"/>
                </patternFill>
              </fill>
            </x14:dxf>
          </x14:cfRule>
          <xm:sqref>V175</xm:sqref>
        </x14:conditionalFormatting>
        <x14:conditionalFormatting xmlns:xm="http://schemas.microsoft.com/office/excel/2006/main">
          <x14:cfRule type="expression" priority="5527" id="{0D36FE22-0FDB-4241-BB49-96303E25525B}">
            <xm:f>AND(IF(V101&gt;'Plan de Accion 2018'!AR53,V101&lt;&gt;¨N/A¨))</xm:f>
            <x14:dxf>
              <fill>
                <patternFill>
                  <bgColor theme="1" tint="0.499984740745262"/>
                </patternFill>
              </fill>
            </x14:dxf>
          </x14:cfRule>
          <x14:cfRule type="expression" priority="5528" stopIfTrue="1" id="{60095CD0-FCDC-4DF7-BCD0-00F76F562D0D}">
            <xm:f>AND(IF(V101='Plan de Accion 2018'!AR53,V101&lt;&gt;"N/A"))</xm:f>
            <x14:dxf>
              <fill>
                <patternFill>
                  <bgColor rgb="FF00B050"/>
                </patternFill>
              </fill>
            </x14:dxf>
          </x14:cfRule>
          <x14:cfRule type="expression" priority="5529" stopIfTrue="1" id="{2AEF51C4-238A-4048-8D17-C94978C5FFDB}">
            <xm:f>AND(IF(V101&lt;'Plan de Accion 2018'!AR53,V101&lt;&gt;"N/A"))</xm:f>
            <x14:dxf>
              <fill>
                <patternFill>
                  <bgColor indexed="10"/>
                </patternFill>
              </fill>
            </x14:dxf>
          </x14:cfRule>
          <xm:sqref>V101</xm:sqref>
        </x14:conditionalFormatting>
        <x14:conditionalFormatting xmlns:xm="http://schemas.microsoft.com/office/excel/2006/main">
          <x14:cfRule type="expression" priority="5521" id="{783911D8-9EF2-4D5A-885F-0DDF05A50B67}">
            <xm:f>AND(IF(V104&gt;'Plan de Accion 2018'!AR68,V104&lt;&gt;¨N/A¨))</xm:f>
            <x14:dxf>
              <fill>
                <patternFill>
                  <bgColor theme="1" tint="0.499984740745262"/>
                </patternFill>
              </fill>
            </x14:dxf>
          </x14:cfRule>
          <x14:cfRule type="expression" priority="5522" stopIfTrue="1" id="{43523738-6B31-4AE3-9245-DB653413721F}">
            <xm:f>AND(IF(V104='Plan de Accion 2018'!AR68,V104&lt;&gt;"N/A"))</xm:f>
            <x14:dxf>
              <fill>
                <patternFill>
                  <bgColor rgb="FF00B050"/>
                </patternFill>
              </fill>
            </x14:dxf>
          </x14:cfRule>
          <x14:cfRule type="expression" priority="5523" stopIfTrue="1" id="{B4054167-7606-4444-A94E-20AA063E3A15}">
            <xm:f>AND(IF(V104&lt;'Plan de Accion 2018'!AR68,V104&lt;&gt;"N/A"))</xm:f>
            <x14:dxf>
              <fill>
                <patternFill>
                  <bgColor indexed="10"/>
                </patternFill>
              </fill>
            </x14:dxf>
          </x14:cfRule>
          <xm:sqref>V176 V104:V105</xm:sqref>
        </x14:conditionalFormatting>
        <x14:conditionalFormatting xmlns:xm="http://schemas.microsoft.com/office/excel/2006/main">
          <x14:cfRule type="expression" priority="5509" id="{EF090E0C-4366-4DC0-ABE7-32851EE300E1}">
            <xm:f>AND(IF(V108&gt;'Plan de Accion 2018'!AR95,V108&lt;&gt;¨N/A¨))</xm:f>
            <x14:dxf>
              <fill>
                <patternFill>
                  <bgColor theme="1" tint="0.499984740745262"/>
                </patternFill>
              </fill>
            </x14:dxf>
          </x14:cfRule>
          <x14:cfRule type="expression" priority="5510" stopIfTrue="1" id="{08541024-31E7-4332-96E2-430FA7DC455C}">
            <xm:f>AND(IF(V108='Plan de Accion 2018'!AR95,V108&lt;&gt;"N/A"))</xm:f>
            <x14:dxf>
              <fill>
                <patternFill>
                  <bgColor rgb="FF00B050"/>
                </patternFill>
              </fill>
            </x14:dxf>
          </x14:cfRule>
          <x14:cfRule type="expression" priority="5511" stopIfTrue="1" id="{7B6537E1-E4B7-441B-8976-7D51D55E2397}">
            <xm:f>AND(IF(V108&lt;'Plan de Accion 2018'!AR95,V108&lt;&gt;"N/A"))</xm:f>
            <x14:dxf>
              <fill>
                <patternFill>
                  <bgColor indexed="10"/>
                </patternFill>
              </fill>
            </x14:dxf>
          </x14:cfRule>
          <xm:sqref>V108:V111</xm:sqref>
        </x14:conditionalFormatting>
        <x14:conditionalFormatting xmlns:xm="http://schemas.microsoft.com/office/excel/2006/main">
          <x14:cfRule type="expression" priority="5497" id="{A6DF7ACB-77E0-4FC0-B861-75BFF70950A8}">
            <xm:f>AND(IF(V112&gt;'Plan de Accion 2018'!AR107,V112&lt;&gt;¨N/A¨))</xm:f>
            <x14:dxf>
              <fill>
                <patternFill>
                  <bgColor theme="1" tint="0.499984740745262"/>
                </patternFill>
              </fill>
            </x14:dxf>
          </x14:cfRule>
          <x14:cfRule type="expression" priority="5498" stopIfTrue="1" id="{CE69D42C-5663-4167-8920-A5DEF16A6A84}">
            <xm:f>AND(IF(V112='Plan de Accion 2018'!AR107,V112&lt;&gt;"N/A"))</xm:f>
            <x14:dxf>
              <fill>
                <patternFill>
                  <bgColor rgb="FF00B050"/>
                </patternFill>
              </fill>
            </x14:dxf>
          </x14:cfRule>
          <x14:cfRule type="expression" priority="5499" stopIfTrue="1" id="{D11D42F9-F014-40AE-A2ED-5379C27D562C}">
            <xm:f>AND(IF(V112&lt;'Plan de Accion 2018'!AR107,V112&lt;&gt;"N/A"))</xm:f>
            <x14:dxf>
              <fill>
                <patternFill>
                  <bgColor indexed="10"/>
                </patternFill>
              </fill>
            </x14:dxf>
          </x14:cfRule>
          <xm:sqref>V112</xm:sqref>
        </x14:conditionalFormatting>
        <x14:conditionalFormatting xmlns:xm="http://schemas.microsoft.com/office/excel/2006/main">
          <x14:cfRule type="expression" priority="5491" id="{39F45714-7368-4451-852B-2769B81067F3}">
            <xm:f>AND(IF(V185&gt;'Plan de Accion 2018'!AR77,V185&lt;&gt;¨N/A¨))</xm:f>
            <x14:dxf>
              <fill>
                <patternFill>
                  <bgColor theme="1" tint="0.499984740745262"/>
                </patternFill>
              </fill>
            </x14:dxf>
          </x14:cfRule>
          <x14:cfRule type="expression" priority="5492" stopIfTrue="1" id="{A21E42F5-E188-4917-864F-7929ABE4FEAF}">
            <xm:f>AND(IF(V185='Plan de Accion 2018'!AR77,V185&lt;&gt;"N/A"))</xm:f>
            <x14:dxf>
              <fill>
                <patternFill>
                  <bgColor rgb="FF00B050"/>
                </patternFill>
              </fill>
            </x14:dxf>
          </x14:cfRule>
          <x14:cfRule type="expression" priority="5493" stopIfTrue="1" id="{54CAC44D-0D31-4D12-9F3C-D27FA10142B9}">
            <xm:f>AND(IF(V185&lt;'Plan de Accion 2018'!AR77,V185&lt;&gt;"N/A"))</xm:f>
            <x14:dxf>
              <fill>
                <patternFill>
                  <bgColor indexed="10"/>
                </patternFill>
              </fill>
            </x14:dxf>
          </x14:cfRule>
          <xm:sqref>V185:V186</xm:sqref>
        </x14:conditionalFormatting>
        <x14:conditionalFormatting xmlns:xm="http://schemas.microsoft.com/office/excel/2006/main">
          <x14:cfRule type="expression" priority="5482" id="{7F2C848D-3848-4A2B-977D-FBEDA56FB4C7}">
            <xm:f>AND(IF(V117&gt;'Plan de Accion 2018'!AR119,V117&lt;&gt;¨N/A¨))</xm:f>
            <x14:dxf>
              <fill>
                <patternFill>
                  <bgColor theme="1" tint="0.499984740745262"/>
                </patternFill>
              </fill>
            </x14:dxf>
          </x14:cfRule>
          <x14:cfRule type="expression" priority="5483" stopIfTrue="1" id="{EEF65C3A-FB60-4266-B3F3-6B2E1007477B}">
            <xm:f>AND(IF(V117='Plan de Accion 2018'!AR119,V117&lt;&gt;"N/A"))</xm:f>
            <x14:dxf>
              <fill>
                <patternFill>
                  <bgColor rgb="FF00B050"/>
                </patternFill>
              </fill>
            </x14:dxf>
          </x14:cfRule>
          <x14:cfRule type="expression" priority="5484" stopIfTrue="1" id="{AC58C304-0BEB-48DF-B0C1-16C11F4C5371}">
            <xm:f>AND(IF(V117&lt;'Plan de Accion 2018'!AR119,V117&lt;&gt;"N/A"))</xm:f>
            <x14:dxf>
              <fill>
                <patternFill>
                  <bgColor indexed="10"/>
                </patternFill>
              </fill>
            </x14:dxf>
          </x14:cfRule>
          <xm:sqref>V117:V120</xm:sqref>
        </x14:conditionalFormatting>
        <x14:conditionalFormatting xmlns:xm="http://schemas.microsoft.com/office/excel/2006/main">
          <x14:cfRule type="expression" priority="5479" id="{C6DDFE17-E2C7-4905-97C0-EE10E6F35193}">
            <xm:f>AND(IF(V121&gt;'Plan de Accion 2018'!AR141,V121&lt;&gt;¨N/A¨))</xm:f>
            <x14:dxf>
              <fill>
                <patternFill>
                  <bgColor theme="1" tint="0.499984740745262"/>
                </patternFill>
              </fill>
            </x14:dxf>
          </x14:cfRule>
          <x14:cfRule type="expression" priority="5480" stopIfTrue="1" id="{E2EE7AAC-653E-45C4-97C9-324C681A777D}">
            <xm:f>AND(IF(V121='Plan de Accion 2018'!AR141,V121&lt;&gt;"N/A"))</xm:f>
            <x14:dxf>
              <fill>
                <patternFill>
                  <bgColor rgb="FF00B050"/>
                </patternFill>
              </fill>
            </x14:dxf>
          </x14:cfRule>
          <x14:cfRule type="expression" priority="5481" stopIfTrue="1" id="{67D35E64-3006-4B78-A101-121DA814D5EB}">
            <xm:f>AND(IF(V121&lt;'Plan de Accion 2018'!AR141,V121&lt;&gt;"N/A"))</xm:f>
            <x14:dxf>
              <fill>
                <patternFill>
                  <bgColor indexed="10"/>
                </patternFill>
              </fill>
            </x14:dxf>
          </x14:cfRule>
          <xm:sqref>V121</xm:sqref>
        </x14:conditionalFormatting>
        <x14:conditionalFormatting xmlns:xm="http://schemas.microsoft.com/office/excel/2006/main">
          <x14:cfRule type="expression" priority="5476" id="{03D6D65B-04D5-4182-BE80-CFD5DDDDC102}">
            <xm:f>AND(IF(V122&gt;'Plan de Accion 2018'!AR143,V122&lt;&gt;¨N/A¨))</xm:f>
            <x14:dxf>
              <fill>
                <patternFill>
                  <bgColor theme="1" tint="0.499984740745262"/>
                </patternFill>
              </fill>
            </x14:dxf>
          </x14:cfRule>
          <x14:cfRule type="expression" priority="5477" stopIfTrue="1" id="{F9557300-0DBD-46A2-B266-D83B13EAE9B8}">
            <xm:f>AND(IF(V122='Plan de Accion 2018'!AR143,V122&lt;&gt;"N/A"))</xm:f>
            <x14:dxf>
              <fill>
                <patternFill>
                  <bgColor rgb="FF00B050"/>
                </patternFill>
              </fill>
            </x14:dxf>
          </x14:cfRule>
          <x14:cfRule type="expression" priority="5478" stopIfTrue="1" id="{C752509E-8738-4CB7-9153-B4F2B3F8EA79}">
            <xm:f>AND(IF(V122&lt;'Plan de Accion 2018'!AR143,V122&lt;&gt;"N/A"))</xm:f>
            <x14:dxf>
              <fill>
                <patternFill>
                  <bgColor indexed="10"/>
                </patternFill>
              </fill>
            </x14:dxf>
          </x14:cfRule>
          <xm:sqref>V122</xm:sqref>
        </x14:conditionalFormatting>
        <x14:conditionalFormatting xmlns:xm="http://schemas.microsoft.com/office/excel/2006/main">
          <x14:cfRule type="expression" priority="5425" id="{8B10F846-51BE-4414-B35D-153C5ED0ED4B}">
            <xm:f>AND(IF(V139&gt;'Plan de Accion 2018'!AR67,V139&lt;&gt;¨N/A¨))</xm:f>
            <x14:dxf>
              <fill>
                <patternFill>
                  <bgColor theme="1" tint="0.499984740745262"/>
                </patternFill>
              </fill>
            </x14:dxf>
          </x14:cfRule>
          <x14:cfRule type="expression" priority="5426" stopIfTrue="1" id="{411A602E-D103-4E99-AF72-DC51F9713946}">
            <xm:f>AND(IF(V139='Plan de Accion 2018'!AR67,V139&lt;&gt;"N/A"))</xm:f>
            <x14:dxf>
              <fill>
                <patternFill>
                  <bgColor rgb="FF00B050"/>
                </patternFill>
              </fill>
            </x14:dxf>
          </x14:cfRule>
          <x14:cfRule type="expression" priority="5427" stopIfTrue="1" id="{C51B46F2-26D0-4BE4-8F48-FCAECD5160C6}">
            <xm:f>AND(IF(V139&lt;'Plan de Accion 2018'!AR67,V139&lt;&gt;"N/A"))</xm:f>
            <x14:dxf>
              <fill>
                <patternFill>
                  <bgColor indexed="10"/>
                </patternFill>
              </fill>
            </x14:dxf>
          </x14:cfRule>
          <xm:sqref>V139:V142</xm:sqref>
        </x14:conditionalFormatting>
        <x14:conditionalFormatting xmlns:xm="http://schemas.microsoft.com/office/excel/2006/main">
          <x14:cfRule type="expression" priority="5416" id="{CE17D25D-F00B-41B1-A419-F87437BB7CA5}">
            <xm:f>AND(IF(V143&gt;'Plan de Accion 2018'!AR72,V143&lt;&gt;¨N/A¨))</xm:f>
            <x14:dxf>
              <fill>
                <patternFill>
                  <bgColor theme="1" tint="0.499984740745262"/>
                </patternFill>
              </fill>
            </x14:dxf>
          </x14:cfRule>
          <x14:cfRule type="expression" priority="5417" stopIfTrue="1" id="{B8BEC380-8065-4DFC-942B-08184E60BDB4}">
            <xm:f>AND(IF(V143='Plan de Accion 2018'!AR72,V143&lt;&gt;"N/A"))</xm:f>
            <x14:dxf>
              <fill>
                <patternFill>
                  <bgColor rgb="FF00B050"/>
                </patternFill>
              </fill>
            </x14:dxf>
          </x14:cfRule>
          <x14:cfRule type="expression" priority="5418" stopIfTrue="1" id="{A8855E53-288C-4EF5-BC08-364DA3984A1C}">
            <xm:f>AND(IF(V143&lt;'Plan de Accion 2018'!AR72,V143&lt;&gt;"N/A"))</xm:f>
            <x14:dxf>
              <fill>
                <patternFill>
                  <bgColor indexed="10"/>
                </patternFill>
              </fill>
            </x14:dxf>
          </x14:cfRule>
          <xm:sqref>V143</xm:sqref>
        </x14:conditionalFormatting>
        <x14:conditionalFormatting xmlns:xm="http://schemas.microsoft.com/office/excel/2006/main">
          <x14:cfRule type="expression" priority="5413" id="{614C0BE5-5E41-4A74-9619-657324DADBB2}">
            <xm:f>AND(IF(V144&gt;'Plan de Accion 2018'!AR74,V144&lt;&gt;¨N/A¨))</xm:f>
            <x14:dxf>
              <fill>
                <patternFill>
                  <bgColor theme="1" tint="0.499984740745262"/>
                </patternFill>
              </fill>
            </x14:dxf>
          </x14:cfRule>
          <x14:cfRule type="expression" priority="5414" stopIfTrue="1" id="{D8813694-B726-400D-AA10-DCA19307EBF9}">
            <xm:f>AND(IF(V144='Plan de Accion 2018'!AR74,V144&lt;&gt;"N/A"))</xm:f>
            <x14:dxf>
              <fill>
                <patternFill>
                  <bgColor rgb="FF00B050"/>
                </patternFill>
              </fill>
            </x14:dxf>
          </x14:cfRule>
          <x14:cfRule type="expression" priority="5415" stopIfTrue="1" id="{64C278E0-3CF3-479D-B72A-BA540413E279}">
            <xm:f>AND(IF(V144&lt;'Plan de Accion 2018'!AR74,V144&lt;&gt;"N/A"))</xm:f>
            <x14:dxf>
              <fill>
                <patternFill>
                  <bgColor indexed="10"/>
                </patternFill>
              </fill>
            </x14:dxf>
          </x14:cfRule>
          <xm:sqref>V144:V145</xm:sqref>
        </x14:conditionalFormatting>
        <x14:conditionalFormatting xmlns:xm="http://schemas.microsoft.com/office/excel/2006/main">
          <x14:cfRule type="expression" priority="5404" id="{CBB10F56-7926-4230-B4D8-EE8F8E8DC1DB}">
            <xm:f>AND(IF(V147&gt;'Plan de Accion 2018'!AR36,V147&lt;&gt;¨N/A¨))</xm:f>
            <x14:dxf>
              <fill>
                <patternFill>
                  <bgColor theme="1" tint="0.499984740745262"/>
                </patternFill>
              </fill>
            </x14:dxf>
          </x14:cfRule>
          <x14:cfRule type="expression" priority="5405" stopIfTrue="1" id="{89C5E2CF-5421-4282-A256-5112FDD86F98}">
            <xm:f>AND(IF(V147='Plan de Accion 2018'!AR36,V147&lt;&gt;"N/A"))</xm:f>
            <x14:dxf>
              <fill>
                <patternFill>
                  <bgColor rgb="FF00B050"/>
                </patternFill>
              </fill>
            </x14:dxf>
          </x14:cfRule>
          <x14:cfRule type="expression" priority="5406" stopIfTrue="1" id="{213114D6-8D39-4653-98AF-15F1144C2139}">
            <xm:f>AND(IF(V147&lt;'Plan de Accion 2018'!AR36,V147&lt;&gt;"N/A"))</xm:f>
            <x14:dxf>
              <fill>
                <patternFill>
                  <bgColor indexed="10"/>
                </patternFill>
              </fill>
            </x14:dxf>
          </x14:cfRule>
          <xm:sqref>V147:V154</xm:sqref>
        </x14:conditionalFormatting>
        <x14:conditionalFormatting xmlns:xm="http://schemas.microsoft.com/office/excel/2006/main">
          <x14:cfRule type="expression" priority="5356" id="{FED11198-6B63-4F33-B83E-0CDF00E72654}">
            <xm:f>AND(IF(V164&gt;'Plan de Accion 2018'!AR139,V164&lt;&gt;¨N/A¨))</xm:f>
            <x14:dxf>
              <fill>
                <patternFill>
                  <bgColor theme="1" tint="0.499984740745262"/>
                </patternFill>
              </fill>
            </x14:dxf>
          </x14:cfRule>
          <x14:cfRule type="expression" priority="5357" stopIfTrue="1" id="{A20BA1EB-D4E3-4AA8-A2C0-3787A26DFE80}">
            <xm:f>AND(IF(V164='Plan de Accion 2018'!AR139,V164&lt;&gt;"N/A"))</xm:f>
            <x14:dxf>
              <fill>
                <patternFill>
                  <bgColor rgb="FF00B050"/>
                </patternFill>
              </fill>
            </x14:dxf>
          </x14:cfRule>
          <x14:cfRule type="expression" priority="5358" stopIfTrue="1" id="{47B853B9-3C06-44C8-997D-37D77C5D9C16}">
            <xm:f>AND(IF(V164&lt;'Plan de Accion 2018'!AR139,V164&lt;&gt;"N/A"))</xm:f>
            <x14:dxf>
              <fill>
                <patternFill>
                  <bgColor indexed="10"/>
                </patternFill>
              </fill>
            </x14:dxf>
          </x14:cfRule>
          <xm:sqref>V164</xm:sqref>
        </x14:conditionalFormatting>
        <x14:conditionalFormatting xmlns:xm="http://schemas.microsoft.com/office/excel/2006/main">
          <x14:cfRule type="expression" priority="5353" id="{747A0A57-DFCE-443B-9B57-650BDDBCF14B}">
            <xm:f>AND(IF(V165&gt;'Plan de Accion 2018'!AR146,V165&lt;&gt;¨N/A¨))</xm:f>
            <x14:dxf>
              <fill>
                <patternFill>
                  <bgColor theme="1" tint="0.499984740745262"/>
                </patternFill>
              </fill>
            </x14:dxf>
          </x14:cfRule>
          <x14:cfRule type="expression" priority="5354" stopIfTrue="1" id="{01E1F1EF-8B53-4381-8E72-635E59F650E3}">
            <xm:f>AND(IF(V165='Plan de Accion 2018'!AR146,V165&lt;&gt;"N/A"))</xm:f>
            <x14:dxf>
              <fill>
                <patternFill>
                  <bgColor rgb="FF00B050"/>
                </patternFill>
              </fill>
            </x14:dxf>
          </x14:cfRule>
          <x14:cfRule type="expression" priority="5355" stopIfTrue="1" id="{89AF6C20-31B2-4568-9618-4C819F02A339}">
            <xm:f>AND(IF(V165&lt;'Plan de Accion 2018'!AR146,V165&lt;&gt;"N/A"))</xm:f>
            <x14:dxf>
              <fill>
                <patternFill>
                  <bgColor indexed="10"/>
                </patternFill>
              </fill>
            </x14:dxf>
          </x14:cfRule>
          <xm:sqref>V165</xm:sqref>
        </x14:conditionalFormatting>
        <x14:conditionalFormatting xmlns:xm="http://schemas.microsoft.com/office/excel/2006/main">
          <x14:cfRule type="expression" priority="5350" id="{20FD569D-676D-457E-8814-F3226C6D75A1}">
            <xm:f>AND(IF(V166&gt;'Plan de Accion 2018'!AR148,V166&lt;&gt;¨N/A¨))</xm:f>
            <x14:dxf>
              <fill>
                <patternFill>
                  <bgColor theme="1" tint="0.499984740745262"/>
                </patternFill>
              </fill>
            </x14:dxf>
          </x14:cfRule>
          <x14:cfRule type="expression" priority="5351" stopIfTrue="1" id="{39189770-CF5A-4E54-B2E9-BAB9DA82A94C}">
            <xm:f>AND(IF(V166='Plan de Accion 2018'!AR148,V166&lt;&gt;"N/A"))</xm:f>
            <x14:dxf>
              <fill>
                <patternFill>
                  <bgColor rgb="FF00B050"/>
                </patternFill>
              </fill>
            </x14:dxf>
          </x14:cfRule>
          <x14:cfRule type="expression" priority="5352" stopIfTrue="1" id="{3CB8A752-16A7-46D3-A91D-2F0FF96CB602}">
            <xm:f>AND(IF(V166&lt;'Plan de Accion 2018'!AR148,V166&lt;&gt;"N/A"))</xm:f>
            <x14:dxf>
              <fill>
                <patternFill>
                  <bgColor indexed="10"/>
                </patternFill>
              </fill>
            </x14:dxf>
          </x14:cfRule>
          <xm:sqref>V166</xm:sqref>
        </x14:conditionalFormatting>
        <x14:conditionalFormatting xmlns:xm="http://schemas.microsoft.com/office/excel/2006/main">
          <x14:cfRule type="expression" priority="5347" id="{0093050E-9B02-4C8B-B72C-9D10F3B585D9}">
            <xm:f>AND(IF(V168&gt;'Plan de Accion 2018'!AR8,V168&lt;&gt;¨N/A¨))</xm:f>
            <x14:dxf>
              <fill>
                <patternFill>
                  <bgColor theme="1" tint="0.499984740745262"/>
                </patternFill>
              </fill>
            </x14:dxf>
          </x14:cfRule>
          <x14:cfRule type="expression" priority="5348" stopIfTrue="1" id="{C7CB7423-69F4-46D9-90FC-7E531F4B3C1C}">
            <xm:f>AND(IF(V168='Plan de Accion 2018'!AR8,V168&lt;&gt;"N/A"))</xm:f>
            <x14:dxf>
              <fill>
                <patternFill>
                  <bgColor rgb="FF00B050"/>
                </patternFill>
              </fill>
            </x14:dxf>
          </x14:cfRule>
          <x14:cfRule type="expression" priority="5349" stopIfTrue="1" id="{B714F7BD-34F9-49FB-B14A-825173BE5014}">
            <xm:f>AND(IF(V168&lt;'Plan de Accion 2018'!AR8,V168&lt;&gt;"N/A"))</xm:f>
            <x14:dxf>
              <fill>
                <patternFill>
                  <bgColor indexed="10"/>
                </patternFill>
              </fill>
            </x14:dxf>
          </x14:cfRule>
          <xm:sqref>V168:V169</xm:sqref>
        </x14:conditionalFormatting>
        <x14:conditionalFormatting xmlns:xm="http://schemas.microsoft.com/office/excel/2006/main">
          <x14:cfRule type="expression" priority="5341" id="{F714D5F8-5D48-4F75-9E56-ECC7015221D0}">
            <xm:f>AND(IF(V170&gt;'Plan de Accion 2018'!AR45,V170&lt;&gt;¨N/A¨))</xm:f>
            <x14:dxf>
              <fill>
                <patternFill>
                  <bgColor theme="1" tint="0.499984740745262"/>
                </patternFill>
              </fill>
            </x14:dxf>
          </x14:cfRule>
          <x14:cfRule type="expression" priority="5342" stopIfTrue="1" id="{4556E2BA-E2DE-4598-B96B-357AC6404AD1}">
            <xm:f>AND(IF(V170='Plan de Accion 2018'!AR45,V170&lt;&gt;"N/A"))</xm:f>
            <x14:dxf>
              <fill>
                <patternFill>
                  <bgColor rgb="FF00B050"/>
                </patternFill>
              </fill>
            </x14:dxf>
          </x14:cfRule>
          <x14:cfRule type="expression" priority="5343" stopIfTrue="1" id="{7F9BB8CD-09AD-448F-B756-EEC57F04592A}">
            <xm:f>AND(IF(V170&lt;'Plan de Accion 2018'!AR45,V170&lt;&gt;"N/A"))</xm:f>
            <x14:dxf>
              <fill>
                <patternFill>
                  <bgColor indexed="10"/>
                </patternFill>
              </fill>
            </x14:dxf>
          </x14:cfRule>
          <xm:sqref>V170 V208:V209</xm:sqref>
        </x14:conditionalFormatting>
        <x14:conditionalFormatting xmlns:xm="http://schemas.microsoft.com/office/excel/2006/main">
          <x14:cfRule type="expression" priority="5338" id="{3CB22836-FE56-4603-9AF8-C954F93BEDC9}">
            <xm:f>AND(IF(V171&gt;'Plan de Accion 2018'!AR64,V171&lt;&gt;¨N/A¨))</xm:f>
            <x14:dxf>
              <fill>
                <patternFill>
                  <bgColor theme="1" tint="0.499984740745262"/>
                </patternFill>
              </fill>
            </x14:dxf>
          </x14:cfRule>
          <x14:cfRule type="expression" priority="5339" stopIfTrue="1" id="{5C73FD31-B063-4949-ABD4-80465FACA59A}">
            <xm:f>AND(IF(V171='Plan de Accion 2018'!AR64,V171&lt;&gt;"N/A"))</xm:f>
            <x14:dxf>
              <fill>
                <patternFill>
                  <bgColor rgb="FF00B050"/>
                </patternFill>
              </fill>
            </x14:dxf>
          </x14:cfRule>
          <x14:cfRule type="expression" priority="5340" stopIfTrue="1" id="{3350EFD4-123A-4356-88D7-929593B29394}">
            <xm:f>AND(IF(V171&lt;'Plan de Accion 2018'!AR64,V171&lt;&gt;"N/A"))</xm:f>
            <x14:dxf>
              <fill>
                <patternFill>
                  <bgColor indexed="10"/>
                </patternFill>
              </fill>
            </x14:dxf>
          </x14:cfRule>
          <xm:sqref>V171</xm:sqref>
        </x14:conditionalFormatting>
        <x14:conditionalFormatting xmlns:xm="http://schemas.microsoft.com/office/excel/2006/main">
          <x14:cfRule type="expression" priority="5335" id="{B0A3C812-D3C4-4DFD-AE89-141C0143A386}">
            <xm:f>AND(IF(V172&gt;'Plan de Accion 2018'!AR76,V172&lt;&gt;¨N/A¨))</xm:f>
            <x14:dxf>
              <fill>
                <patternFill>
                  <bgColor theme="1" tint="0.499984740745262"/>
                </patternFill>
              </fill>
            </x14:dxf>
          </x14:cfRule>
          <x14:cfRule type="expression" priority="5336" stopIfTrue="1" id="{C34DCA7B-524D-4DA5-ACA1-BE82D8C5F1A6}">
            <xm:f>AND(IF(V172='Plan de Accion 2018'!AR76,V172&lt;&gt;"N/A"))</xm:f>
            <x14:dxf>
              <fill>
                <patternFill>
                  <bgColor rgb="FF00B050"/>
                </patternFill>
              </fill>
            </x14:dxf>
          </x14:cfRule>
          <x14:cfRule type="expression" priority="5337" stopIfTrue="1" id="{3CAD693A-A490-4807-A390-C17FAD3049A6}">
            <xm:f>AND(IF(V172&lt;'Plan de Accion 2018'!AR76,V172&lt;&gt;"N/A"))</xm:f>
            <x14:dxf>
              <fill>
                <patternFill>
                  <bgColor indexed="10"/>
                </patternFill>
              </fill>
            </x14:dxf>
          </x14:cfRule>
          <xm:sqref>V172</xm:sqref>
        </x14:conditionalFormatting>
        <x14:conditionalFormatting xmlns:xm="http://schemas.microsoft.com/office/excel/2006/main">
          <x14:cfRule type="expression" priority="5332" id="{20E7F306-212E-46CF-B452-B7CEC041A613}">
            <xm:f>AND(IF(V173&gt;'Plan de Accion 2018'!AR89,V173&lt;&gt;¨N/A¨))</xm:f>
            <x14:dxf>
              <fill>
                <patternFill>
                  <bgColor theme="1" tint="0.499984740745262"/>
                </patternFill>
              </fill>
            </x14:dxf>
          </x14:cfRule>
          <x14:cfRule type="expression" priority="5333" stopIfTrue="1" id="{3EC38065-59F9-48F3-BCD9-11E6019EBBA0}">
            <xm:f>AND(IF(V173='Plan de Accion 2018'!AR89,V173&lt;&gt;"N/A"))</xm:f>
            <x14:dxf>
              <fill>
                <patternFill>
                  <bgColor rgb="FF00B050"/>
                </patternFill>
              </fill>
            </x14:dxf>
          </x14:cfRule>
          <x14:cfRule type="expression" priority="5334" stopIfTrue="1" id="{5FE9E9F2-0173-49CA-A388-1676B4B70A39}">
            <xm:f>AND(IF(V173&lt;'Plan de Accion 2018'!AR89,V173&lt;&gt;"N/A"))</xm:f>
            <x14:dxf>
              <fill>
                <patternFill>
                  <bgColor indexed="10"/>
                </patternFill>
              </fill>
            </x14:dxf>
          </x14:cfRule>
          <xm:sqref>V173</xm:sqref>
        </x14:conditionalFormatting>
        <x14:conditionalFormatting xmlns:xm="http://schemas.microsoft.com/office/excel/2006/main">
          <x14:cfRule type="expression" priority="5329" id="{101D77A3-05AE-4959-8A32-DD9C91F7F4CB}">
            <xm:f>AND(IF(V217&gt;'Plan de Accion 2018'!AR154,V217&lt;&gt;¨N/A¨))</xm:f>
            <x14:dxf>
              <fill>
                <patternFill>
                  <bgColor theme="1" tint="0.499984740745262"/>
                </patternFill>
              </fill>
            </x14:dxf>
          </x14:cfRule>
          <x14:cfRule type="expression" priority="5330" stopIfTrue="1" id="{52D6CCA1-3C6E-40BA-A293-2ACFCEE97573}">
            <xm:f>AND(IF(V217='Plan de Accion 2018'!AR154,V217&lt;&gt;"N/A"))</xm:f>
            <x14:dxf>
              <fill>
                <patternFill>
                  <bgColor rgb="FF00B050"/>
                </patternFill>
              </fill>
            </x14:dxf>
          </x14:cfRule>
          <x14:cfRule type="expression" priority="5331" stopIfTrue="1" id="{D3647766-93EF-40A7-A578-C77F2485DDFE}">
            <xm:f>AND(IF(V217&lt;'Plan de Accion 2018'!AR154,V217&lt;&gt;"N/A"))</xm:f>
            <x14:dxf>
              <fill>
                <patternFill>
                  <bgColor indexed="10"/>
                </patternFill>
              </fill>
            </x14:dxf>
          </x14:cfRule>
          <xm:sqref>V217</xm:sqref>
        </x14:conditionalFormatting>
        <x14:conditionalFormatting xmlns:xm="http://schemas.microsoft.com/office/excel/2006/main">
          <x14:cfRule type="expression" priority="5320" id="{4CE72EB7-3790-4299-A5CE-18CDF786FDFF}">
            <xm:f>AND(IF(V179&gt;'Plan de Accion 2018'!AR13,V179&lt;&gt;¨N/A¨))</xm:f>
            <x14:dxf>
              <fill>
                <patternFill>
                  <bgColor theme="1" tint="0.499984740745262"/>
                </patternFill>
              </fill>
            </x14:dxf>
          </x14:cfRule>
          <x14:cfRule type="expression" priority="5321" stopIfTrue="1" id="{78001223-06BC-4316-954D-D35160F3D0B2}">
            <xm:f>AND(IF(V179='Plan de Accion 2018'!AR13,V179&lt;&gt;"N/A"))</xm:f>
            <x14:dxf>
              <fill>
                <patternFill>
                  <bgColor rgb="FF00B050"/>
                </patternFill>
              </fill>
            </x14:dxf>
          </x14:cfRule>
          <x14:cfRule type="expression" priority="5322" stopIfTrue="1" id="{EDAF408B-AC99-46D1-A55C-05515FB950EB}">
            <xm:f>AND(IF(V179&lt;'Plan de Accion 2018'!AR13,V179&lt;&gt;"N/A"))</xm:f>
            <x14:dxf>
              <fill>
                <patternFill>
                  <bgColor indexed="10"/>
                </patternFill>
              </fill>
            </x14:dxf>
          </x14:cfRule>
          <xm:sqref>V179:V180</xm:sqref>
        </x14:conditionalFormatting>
        <x14:conditionalFormatting xmlns:xm="http://schemas.microsoft.com/office/excel/2006/main">
          <x14:cfRule type="expression" priority="5314" id="{85D27FD3-230F-4B73-A37F-EAF5799485C4}">
            <xm:f>AND(IF(V181&gt;'Plan de Accion 2018'!AR46,V181&lt;&gt;¨N/A¨))</xm:f>
            <x14:dxf>
              <fill>
                <patternFill>
                  <bgColor theme="1" tint="0.499984740745262"/>
                </patternFill>
              </fill>
            </x14:dxf>
          </x14:cfRule>
          <x14:cfRule type="expression" priority="5315" stopIfTrue="1" id="{340FEBC7-9F4A-4512-8CC9-1214706CEF0E}">
            <xm:f>AND(IF(V181='Plan de Accion 2018'!AR46,V181&lt;&gt;"N/A"))</xm:f>
            <x14:dxf>
              <fill>
                <patternFill>
                  <bgColor rgb="FF00B050"/>
                </patternFill>
              </fill>
            </x14:dxf>
          </x14:cfRule>
          <x14:cfRule type="expression" priority="5316" stopIfTrue="1" id="{975397B7-5CD1-4695-864E-C6CE4947878B}">
            <xm:f>AND(IF(V181&lt;'Plan de Accion 2018'!AR46,V181&lt;&gt;"N/A"))</xm:f>
            <x14:dxf>
              <fill>
                <patternFill>
                  <bgColor indexed="10"/>
                </patternFill>
              </fill>
            </x14:dxf>
          </x14:cfRule>
          <xm:sqref>V181:V182</xm:sqref>
        </x14:conditionalFormatting>
        <x14:conditionalFormatting xmlns:xm="http://schemas.microsoft.com/office/excel/2006/main">
          <x14:cfRule type="expression" priority="5308" id="{7F91198E-4A2C-43BD-A867-50E4CD3CD26D}">
            <xm:f>AND(IF(V183&gt;'Plan de Accion 2018'!AR65,V183&lt;&gt;¨N/A¨))</xm:f>
            <x14:dxf>
              <fill>
                <patternFill>
                  <bgColor theme="1" tint="0.499984740745262"/>
                </patternFill>
              </fill>
            </x14:dxf>
          </x14:cfRule>
          <x14:cfRule type="expression" priority="5309" stopIfTrue="1" id="{C006BA77-7F90-42DD-8875-4279318992BA}">
            <xm:f>AND(IF(V183='Plan de Accion 2018'!AR65,V183&lt;&gt;"N/A"))</xm:f>
            <x14:dxf>
              <fill>
                <patternFill>
                  <bgColor rgb="FF00B050"/>
                </patternFill>
              </fill>
            </x14:dxf>
          </x14:cfRule>
          <x14:cfRule type="expression" priority="5310" stopIfTrue="1" id="{A0350434-A7E9-4BE2-BB63-EECF601369CA}">
            <xm:f>AND(IF(V183&lt;'Plan de Accion 2018'!AR65,V183&lt;&gt;"N/A"))</xm:f>
            <x14:dxf>
              <fill>
                <patternFill>
                  <bgColor indexed="10"/>
                </patternFill>
              </fill>
            </x14:dxf>
          </x14:cfRule>
          <xm:sqref>V183:V184</xm:sqref>
        </x14:conditionalFormatting>
        <x14:conditionalFormatting xmlns:xm="http://schemas.microsoft.com/office/excel/2006/main">
          <x14:cfRule type="expression" priority="5296" id="{198C094E-BE28-497D-91D9-CBFAFD2C95A7}">
            <xm:f>AND(IF(V187&gt;'Plan de Accion 2018'!AR90,V187&lt;&gt;¨N/A¨))</xm:f>
            <x14:dxf>
              <fill>
                <patternFill>
                  <bgColor theme="1" tint="0.499984740745262"/>
                </patternFill>
              </fill>
            </x14:dxf>
          </x14:cfRule>
          <x14:cfRule type="expression" priority="5297" stopIfTrue="1" id="{DFBC07CA-CBEF-4CCD-A608-A29778FAE1F4}">
            <xm:f>AND(IF(V187='Plan de Accion 2018'!AR90,V187&lt;&gt;"N/A"))</xm:f>
            <x14:dxf>
              <fill>
                <patternFill>
                  <bgColor rgb="FF00B050"/>
                </patternFill>
              </fill>
            </x14:dxf>
          </x14:cfRule>
          <x14:cfRule type="expression" priority="5298" stopIfTrue="1" id="{015D71D0-53C3-4756-909D-B39FA5BB4B2A}">
            <xm:f>AND(IF(V187&lt;'Plan de Accion 2018'!AR90,V187&lt;&gt;"N/A"))</xm:f>
            <x14:dxf>
              <fill>
                <patternFill>
                  <bgColor indexed="10"/>
                </patternFill>
              </fill>
            </x14:dxf>
          </x14:cfRule>
          <xm:sqref>V187:V188</xm:sqref>
        </x14:conditionalFormatting>
        <x14:conditionalFormatting xmlns:xm="http://schemas.microsoft.com/office/excel/2006/main">
          <x14:cfRule type="expression" priority="5290" id="{A35716D9-2BD4-4340-B072-FF1F2CA88E66}">
            <xm:f>AND(IF(V189&gt;'Plan de Accion 2018'!AR99,V189&lt;&gt;¨N/A¨))</xm:f>
            <x14:dxf>
              <fill>
                <patternFill>
                  <bgColor theme="1" tint="0.499984740745262"/>
                </patternFill>
              </fill>
            </x14:dxf>
          </x14:cfRule>
          <x14:cfRule type="expression" priority="5291" stopIfTrue="1" id="{108BC98D-3197-4284-86FA-C1A04366324E}">
            <xm:f>AND(IF(V189='Plan de Accion 2018'!AR99,V189&lt;&gt;"N/A"))</xm:f>
            <x14:dxf>
              <fill>
                <patternFill>
                  <bgColor rgb="FF00B050"/>
                </patternFill>
              </fill>
            </x14:dxf>
          </x14:cfRule>
          <x14:cfRule type="expression" priority="5292" stopIfTrue="1" id="{E6751CFB-7189-4D6A-98E9-683C93FE1187}">
            <xm:f>AND(IF(V189&lt;'Plan de Accion 2018'!AR99,V189&lt;&gt;"N/A"))</xm:f>
            <x14:dxf>
              <fill>
                <patternFill>
                  <bgColor indexed="10"/>
                </patternFill>
              </fill>
            </x14:dxf>
          </x14:cfRule>
          <xm:sqref>V189:V190</xm:sqref>
        </x14:conditionalFormatting>
        <x14:conditionalFormatting xmlns:xm="http://schemas.microsoft.com/office/excel/2006/main">
          <x14:cfRule type="expression" priority="5284" id="{0B71975D-ECEE-435E-A1F8-C4C4045EE54A}">
            <xm:f>AND(IF(V191&gt;'Plan de Accion 2018'!AR104,V191&lt;&gt;¨N/A¨))</xm:f>
            <x14:dxf>
              <fill>
                <patternFill>
                  <bgColor theme="1" tint="0.499984740745262"/>
                </patternFill>
              </fill>
            </x14:dxf>
          </x14:cfRule>
          <x14:cfRule type="expression" priority="5285" stopIfTrue="1" id="{10B4C44D-CF4C-46AB-B7D8-018A83E7E013}">
            <xm:f>AND(IF(V191='Plan de Accion 2018'!AR104,V191&lt;&gt;"N/A"))</xm:f>
            <x14:dxf>
              <fill>
                <patternFill>
                  <bgColor rgb="FF00B050"/>
                </patternFill>
              </fill>
            </x14:dxf>
          </x14:cfRule>
          <x14:cfRule type="expression" priority="5286" stopIfTrue="1" id="{81437EA1-4EFA-41A3-B6A3-58D48B896B7C}">
            <xm:f>AND(IF(V191&lt;'Plan de Accion 2018'!AR104,V191&lt;&gt;"N/A"))</xm:f>
            <x14:dxf>
              <fill>
                <patternFill>
                  <bgColor indexed="10"/>
                </patternFill>
              </fill>
            </x14:dxf>
          </x14:cfRule>
          <xm:sqref>V191</xm:sqref>
        </x14:conditionalFormatting>
        <x14:conditionalFormatting xmlns:xm="http://schemas.microsoft.com/office/excel/2006/main">
          <x14:cfRule type="expression" priority="5281" id="{7435AFEA-1E5E-4301-AE2D-9DFDBBC730F4}">
            <xm:f>AND(IF(V192&gt;'Plan de Accion 2018'!AR110,V192&lt;&gt;¨N/A¨))</xm:f>
            <x14:dxf>
              <fill>
                <patternFill>
                  <bgColor theme="1" tint="0.499984740745262"/>
                </patternFill>
              </fill>
            </x14:dxf>
          </x14:cfRule>
          <x14:cfRule type="expression" priority="5282" stopIfTrue="1" id="{05FBC670-C350-493E-BD9F-58CD5A7F49DA}">
            <xm:f>AND(IF(V192='Plan de Accion 2018'!AR110,V192&lt;&gt;"N/A"))</xm:f>
            <x14:dxf>
              <fill>
                <patternFill>
                  <bgColor rgb="FF00B050"/>
                </patternFill>
              </fill>
            </x14:dxf>
          </x14:cfRule>
          <x14:cfRule type="expression" priority="5283" stopIfTrue="1" id="{81C30529-D40E-4836-A007-A23FDD33D67A}">
            <xm:f>AND(IF(V192&lt;'Plan de Accion 2018'!AR110,V192&lt;&gt;"N/A"))</xm:f>
            <x14:dxf>
              <fill>
                <patternFill>
                  <bgColor indexed="10"/>
                </patternFill>
              </fill>
            </x14:dxf>
          </x14:cfRule>
          <xm:sqref>V192:V195</xm:sqref>
        </x14:conditionalFormatting>
        <x14:conditionalFormatting xmlns:xm="http://schemas.microsoft.com/office/excel/2006/main">
          <x14:cfRule type="expression" priority="5275" id="{CEE550D8-B190-410C-8443-EB67CC8CB876}">
            <xm:f>AND(IF(V196&gt;'Plan de Accion 2018'!AR115,V196&lt;&gt;¨N/A¨))</xm:f>
            <x14:dxf>
              <fill>
                <patternFill>
                  <bgColor theme="1" tint="0.499984740745262"/>
                </patternFill>
              </fill>
            </x14:dxf>
          </x14:cfRule>
          <x14:cfRule type="expression" priority="5276" stopIfTrue="1" id="{1ADA769B-C43D-4CD4-90A6-72168FD15D1E}">
            <xm:f>AND(IF(V196='Plan de Accion 2018'!AR115,V196&lt;&gt;"N/A"))</xm:f>
            <x14:dxf>
              <fill>
                <patternFill>
                  <bgColor rgb="FF00B050"/>
                </patternFill>
              </fill>
            </x14:dxf>
          </x14:cfRule>
          <x14:cfRule type="expression" priority="5277" stopIfTrue="1" id="{ED4A7763-D171-4EF9-93F0-9B8C8350DF9F}">
            <xm:f>AND(IF(V196&lt;'Plan de Accion 2018'!AR115,V196&lt;&gt;"N/A"))</xm:f>
            <x14:dxf>
              <fill>
                <patternFill>
                  <bgColor indexed="10"/>
                </patternFill>
              </fill>
            </x14:dxf>
          </x14:cfRule>
          <xm:sqref>V196:V199</xm:sqref>
        </x14:conditionalFormatting>
        <x14:conditionalFormatting xmlns:xm="http://schemas.microsoft.com/office/excel/2006/main">
          <x14:cfRule type="expression" priority="5263" id="{9301CE03-495E-4346-B2A2-D47C47ABBA3F}">
            <xm:f>AND(IF(V200&gt;'Plan de Accion 2018'!AR120,V200&lt;&gt;¨N/A¨))</xm:f>
            <x14:dxf>
              <fill>
                <patternFill>
                  <bgColor theme="1" tint="0.499984740745262"/>
                </patternFill>
              </fill>
            </x14:dxf>
          </x14:cfRule>
          <x14:cfRule type="expression" priority="5264" stopIfTrue="1" id="{6E156D7F-CDCD-4515-B780-1148A4AD17B3}">
            <xm:f>AND(IF(V200='Plan de Accion 2018'!AR120,V200&lt;&gt;"N/A"))</xm:f>
            <x14:dxf>
              <fill>
                <patternFill>
                  <bgColor rgb="FF00B050"/>
                </patternFill>
              </fill>
            </x14:dxf>
          </x14:cfRule>
          <x14:cfRule type="expression" priority="5265" stopIfTrue="1" id="{DBF53FE7-75D3-432E-92EB-3D31331EBA93}">
            <xm:f>AND(IF(V200&lt;'Plan de Accion 2018'!AR120,V200&lt;&gt;"N/A"))</xm:f>
            <x14:dxf>
              <fill>
                <patternFill>
                  <bgColor indexed="10"/>
                </patternFill>
              </fill>
            </x14:dxf>
          </x14:cfRule>
          <xm:sqref>V215:V216 V200</xm:sqref>
        </x14:conditionalFormatting>
        <x14:conditionalFormatting xmlns:xm="http://schemas.microsoft.com/office/excel/2006/main">
          <x14:cfRule type="expression" priority="5254" id="{2B10CB12-2E8C-40FB-8733-D490235C8494}">
            <xm:f>AND(IF(V204&gt;'Plan de Accion 2018'!AR63,V204&lt;&gt;¨N/A¨))</xm:f>
            <x14:dxf>
              <fill>
                <patternFill>
                  <bgColor theme="1" tint="0.499984740745262"/>
                </patternFill>
              </fill>
            </x14:dxf>
          </x14:cfRule>
          <x14:cfRule type="expression" priority="5255" stopIfTrue="1" id="{6598EF9D-A416-44C8-8889-69C41D232E93}">
            <xm:f>AND(IF(V204='Plan de Accion 2018'!AR63,V204&lt;&gt;"N/A"))</xm:f>
            <x14:dxf>
              <fill>
                <patternFill>
                  <bgColor rgb="FF00B050"/>
                </patternFill>
              </fill>
            </x14:dxf>
          </x14:cfRule>
          <x14:cfRule type="expression" priority="5256" stopIfTrue="1" id="{5CA65FA1-5CC4-42E7-8705-2CC0D6CB9BF7}">
            <xm:f>AND(IF(V204&lt;'Plan de Accion 2018'!AR63,V204&lt;&gt;"N/A"))</xm:f>
            <x14:dxf>
              <fill>
                <patternFill>
                  <bgColor indexed="10"/>
                </patternFill>
              </fill>
            </x14:dxf>
          </x14:cfRule>
          <xm:sqref>V204</xm:sqref>
        </x14:conditionalFormatting>
        <x14:conditionalFormatting xmlns:xm="http://schemas.microsoft.com/office/excel/2006/main">
          <x14:cfRule type="expression" priority="5251" id="{39F39964-05E4-4E69-B13E-B80B444899A6}">
            <xm:f>AND(IF(V205&gt;'Plan de Accion 2018'!AR71,V205&lt;&gt;¨N/A¨))</xm:f>
            <x14:dxf>
              <fill>
                <patternFill>
                  <bgColor theme="1" tint="0.499984740745262"/>
                </patternFill>
              </fill>
            </x14:dxf>
          </x14:cfRule>
          <x14:cfRule type="expression" priority="5252" stopIfTrue="1" id="{73709994-A0BA-4E1E-A6B5-F0CFC567104B}">
            <xm:f>AND(IF(V205='Plan de Accion 2018'!AR71,V205&lt;&gt;"N/A"))</xm:f>
            <x14:dxf>
              <fill>
                <patternFill>
                  <bgColor rgb="FF00B050"/>
                </patternFill>
              </fill>
            </x14:dxf>
          </x14:cfRule>
          <x14:cfRule type="expression" priority="5253" stopIfTrue="1" id="{14233A59-565B-42C4-9FC8-D33A8E28DF26}">
            <xm:f>AND(IF(V205&lt;'Plan de Accion 2018'!AR71,V205&lt;&gt;"N/A"))</xm:f>
            <x14:dxf>
              <fill>
                <patternFill>
                  <bgColor indexed="10"/>
                </patternFill>
              </fill>
            </x14:dxf>
          </x14:cfRule>
          <xm:sqref>V205</xm:sqref>
        </x14:conditionalFormatting>
        <x14:conditionalFormatting xmlns:xm="http://schemas.microsoft.com/office/excel/2006/main">
          <x14:cfRule type="expression" priority="5248" id="{9AFDBDE2-1A63-4B30-9E1E-C6407DF021A9}">
            <xm:f>AND(IF(V207&gt;'Plan de Accion 2018'!AR79,V207&lt;&gt;¨N/A¨))</xm:f>
            <x14:dxf>
              <fill>
                <patternFill>
                  <bgColor theme="1" tint="0.499984740745262"/>
                </patternFill>
              </fill>
            </x14:dxf>
          </x14:cfRule>
          <x14:cfRule type="expression" priority="5249" stopIfTrue="1" id="{5EC3DE53-5B93-41D5-BFA8-FD558E2371AE}">
            <xm:f>AND(IF(V207='Plan de Accion 2018'!AR79,V207&lt;&gt;"N/A"))</xm:f>
            <x14:dxf>
              <fill>
                <patternFill>
                  <bgColor rgb="FF00B050"/>
                </patternFill>
              </fill>
            </x14:dxf>
          </x14:cfRule>
          <x14:cfRule type="expression" priority="5250" stopIfTrue="1" id="{B63A31A8-CB46-47F2-BB67-CC095816BD5D}">
            <xm:f>AND(IF(V207&lt;'Plan de Accion 2018'!AR79,V207&lt;&gt;"N/A"))</xm:f>
            <x14:dxf>
              <fill>
                <patternFill>
                  <bgColor indexed="10"/>
                </patternFill>
              </fill>
            </x14:dxf>
          </x14:cfRule>
          <xm:sqref>V207</xm:sqref>
        </x14:conditionalFormatting>
        <x14:conditionalFormatting xmlns:xm="http://schemas.microsoft.com/office/excel/2006/main">
          <x14:cfRule type="expression" priority="5239" id="{1E469597-D54D-4C1F-A540-4E1A1520703D}">
            <xm:f>AND(IF(V211&gt;'Plan de Accion 2018'!AR73,V211&lt;&gt;¨N/A¨))</xm:f>
            <x14:dxf>
              <fill>
                <patternFill>
                  <bgColor theme="1" tint="0.499984740745262"/>
                </patternFill>
              </fill>
            </x14:dxf>
          </x14:cfRule>
          <x14:cfRule type="expression" priority="5240" stopIfTrue="1" id="{8A394ED9-E728-426B-8C00-DF058CB85CFD}">
            <xm:f>AND(IF(V211='Plan de Accion 2018'!AR73,V211&lt;&gt;"N/A"))</xm:f>
            <x14:dxf>
              <fill>
                <patternFill>
                  <bgColor rgb="FF00B050"/>
                </patternFill>
              </fill>
            </x14:dxf>
          </x14:cfRule>
          <x14:cfRule type="expression" priority="5241" stopIfTrue="1" id="{5B3B4588-61DE-4B9F-B934-7DEAF195E816}">
            <xm:f>AND(IF(V211&lt;'Plan de Accion 2018'!AR73,V211&lt;&gt;"N/A"))</xm:f>
            <x14:dxf>
              <fill>
                <patternFill>
                  <bgColor indexed="10"/>
                </patternFill>
              </fill>
            </x14:dxf>
          </x14:cfRule>
          <xm:sqref>V211</xm:sqref>
        </x14:conditionalFormatting>
        <x14:conditionalFormatting xmlns:xm="http://schemas.microsoft.com/office/excel/2006/main">
          <x14:cfRule type="expression" priority="5236" id="{9D686B42-A03F-4BDD-A4C0-10B69679EF51}">
            <xm:f>AND(IF(V212&gt;'Plan de Accion 2018'!AR129,V212&lt;&gt;¨N/A¨))</xm:f>
            <x14:dxf>
              <fill>
                <patternFill>
                  <bgColor theme="1" tint="0.499984740745262"/>
                </patternFill>
              </fill>
            </x14:dxf>
          </x14:cfRule>
          <x14:cfRule type="expression" priority="5237" stopIfTrue="1" id="{8CD20252-CA36-4699-86F6-AF5CC2988935}">
            <xm:f>AND(IF(V212='Plan de Accion 2018'!AR129,V212&lt;&gt;"N/A"))</xm:f>
            <x14:dxf>
              <fill>
                <patternFill>
                  <bgColor rgb="FF00B050"/>
                </patternFill>
              </fill>
            </x14:dxf>
          </x14:cfRule>
          <x14:cfRule type="expression" priority="5238" stopIfTrue="1" id="{24B16D58-B293-426C-B2E0-6C48CD859879}">
            <xm:f>AND(IF(V212&lt;'Plan de Accion 2018'!AR129,V212&lt;&gt;"N/A"))</xm:f>
            <x14:dxf>
              <fill>
                <patternFill>
                  <bgColor indexed="10"/>
                </patternFill>
              </fill>
            </x14:dxf>
          </x14:cfRule>
          <xm:sqref>V212:V214</xm:sqref>
        </x14:conditionalFormatting>
        <x14:conditionalFormatting xmlns:xm="http://schemas.microsoft.com/office/excel/2006/main">
          <x14:cfRule type="expression" priority="5221" id="{FA8F870B-7768-430F-A4C2-5F5B5D19B09D}">
            <xm:f>AND(IF(V220&gt;'Plan de Accion 2018'!AR101,V220&lt;&gt;¨N/A¨))</xm:f>
            <x14:dxf>
              <fill>
                <patternFill>
                  <bgColor theme="1" tint="0.499984740745262"/>
                </patternFill>
              </fill>
            </x14:dxf>
          </x14:cfRule>
          <x14:cfRule type="expression" priority="5222" stopIfTrue="1" id="{FCD53F9D-F459-4D8C-8646-80BB2090415A}">
            <xm:f>AND(IF(V220='Plan de Accion 2018'!AR101,V220&lt;&gt;"N/A"))</xm:f>
            <x14:dxf>
              <fill>
                <patternFill>
                  <bgColor rgb="FF00B050"/>
                </patternFill>
              </fill>
            </x14:dxf>
          </x14:cfRule>
          <x14:cfRule type="expression" priority="5223" stopIfTrue="1" id="{11D17B00-2989-4AAC-AE65-9F6772903D6F}">
            <xm:f>AND(IF(V220&lt;'Plan de Accion 2018'!AR101,V220&lt;&gt;"N/A"))</xm:f>
            <x14:dxf>
              <fill>
                <patternFill>
                  <bgColor indexed="10"/>
                </patternFill>
              </fill>
            </x14:dxf>
          </x14:cfRule>
          <xm:sqref>V220:V222</xm:sqref>
        </x14:conditionalFormatting>
        <x14:conditionalFormatting xmlns:xm="http://schemas.microsoft.com/office/excel/2006/main">
          <x14:cfRule type="expression" priority="5197" id="{43E12CD1-1B85-4B6D-8419-2AF18B8FB1FE}">
            <xm:f>AND(IF(AC18&gt;'Plan de Accion 2018'!BB145,AC18&lt;&gt;¨N/A¨))</xm:f>
            <x14:dxf>
              <fill>
                <patternFill>
                  <bgColor theme="1" tint="0.499984740745262"/>
                </patternFill>
              </fill>
            </x14:dxf>
          </x14:cfRule>
          <x14:cfRule type="expression" priority="5198" stopIfTrue="1" id="{A0B20F42-BDC1-4B4B-8FF9-BDE9020A2C94}">
            <xm:f>AND(IF(AC18='Plan de Accion 2018'!BB145,AC18&lt;&gt;"N/A"))</xm:f>
            <x14:dxf>
              <fill>
                <patternFill>
                  <bgColor rgb="FF00B050"/>
                </patternFill>
              </fill>
            </x14:dxf>
          </x14:cfRule>
          <x14:cfRule type="expression" priority="5199" stopIfTrue="1" id="{7DB5BB64-AD6D-4269-8651-FEB763EA6929}">
            <xm:f>AND(IF(AC18&lt;'Plan de Accion 2018'!BB145,AC18&lt;&gt;"N/A"))</xm:f>
            <x14:dxf>
              <fill>
                <patternFill>
                  <bgColor indexed="10"/>
                </patternFill>
              </fill>
            </x14:dxf>
          </x14:cfRule>
          <xm:sqref>AC18</xm:sqref>
        </x14:conditionalFormatting>
        <x14:conditionalFormatting xmlns:xm="http://schemas.microsoft.com/office/excel/2006/main">
          <x14:cfRule type="expression" priority="5194" id="{4D29586C-CB71-418D-AD3C-7F72B69F7657}">
            <xm:f>AND(IF(AC19&gt;'Plan de Accion 2018'!BB103,AC19&lt;&gt;¨N/A¨))</xm:f>
            <x14:dxf>
              <fill>
                <patternFill>
                  <bgColor theme="1" tint="0.499984740745262"/>
                </patternFill>
              </fill>
            </x14:dxf>
          </x14:cfRule>
          <x14:cfRule type="expression" priority="5195" stopIfTrue="1" id="{E0E33144-0848-4152-8164-C32048E32DD9}">
            <xm:f>AND(IF(AC19='Plan de Accion 2018'!BB103,AC19&lt;&gt;"N/A"))</xm:f>
            <x14:dxf>
              <fill>
                <patternFill>
                  <bgColor rgb="FF00B050"/>
                </patternFill>
              </fill>
            </x14:dxf>
          </x14:cfRule>
          <x14:cfRule type="expression" priority="5196" stopIfTrue="1" id="{AEDFE661-7F17-4A35-9F09-957B2F7011FF}">
            <xm:f>AND(IF(AC19&lt;'Plan de Accion 2018'!BB103,AC19&lt;&gt;"N/A"))</xm:f>
            <x14:dxf>
              <fill>
                <patternFill>
                  <bgColor indexed="10"/>
                </patternFill>
              </fill>
            </x14:dxf>
          </x14:cfRule>
          <xm:sqref>AC19</xm:sqref>
        </x14:conditionalFormatting>
        <x14:conditionalFormatting xmlns:xm="http://schemas.microsoft.com/office/excel/2006/main">
          <x14:cfRule type="expression" priority="5191" id="{932BC42F-22AF-4A73-AF18-EDFB13B78127}">
            <xm:f>AND(IF(AC20&gt;'Plan de Accion 2018'!BB108,AC20&lt;&gt;¨N/A¨))</xm:f>
            <x14:dxf>
              <fill>
                <patternFill>
                  <bgColor theme="1" tint="0.499984740745262"/>
                </patternFill>
              </fill>
            </x14:dxf>
          </x14:cfRule>
          <x14:cfRule type="expression" priority="5192" stopIfTrue="1" id="{28093278-00B3-49ED-A557-C9F0D354E007}">
            <xm:f>AND(IF(AC20='Plan de Accion 2018'!BB108,AC20&lt;&gt;"N/A"))</xm:f>
            <x14:dxf>
              <fill>
                <patternFill>
                  <bgColor rgb="FF00B050"/>
                </patternFill>
              </fill>
            </x14:dxf>
          </x14:cfRule>
          <x14:cfRule type="expression" priority="5193" stopIfTrue="1" id="{DDB8731F-9637-490F-BCBD-355C5E42120F}">
            <xm:f>AND(IF(AC20&lt;'Plan de Accion 2018'!BB108,AC20&lt;&gt;"N/A"))</xm:f>
            <x14:dxf>
              <fill>
                <patternFill>
                  <bgColor indexed="10"/>
                </patternFill>
              </fill>
            </x14:dxf>
          </x14:cfRule>
          <xm:sqref>AC20:AC21</xm:sqref>
        </x14:conditionalFormatting>
        <x14:conditionalFormatting xmlns:xm="http://schemas.microsoft.com/office/excel/2006/main">
          <x14:cfRule type="expression" priority="5185" id="{8A8990B3-40DA-4A1F-9F7A-76082058B2E3}">
            <xm:f>AND(IF(AC22&gt;'Plan de Accion 2018'!BB112,AC22&lt;&gt;¨N/A¨))</xm:f>
            <x14:dxf>
              <fill>
                <patternFill>
                  <bgColor theme="1" tint="0.499984740745262"/>
                </patternFill>
              </fill>
            </x14:dxf>
          </x14:cfRule>
          <x14:cfRule type="expression" priority="5186" stopIfTrue="1" id="{BCAE20C7-FADB-4CC7-898D-86AB90BD2072}">
            <xm:f>AND(IF(AC22='Plan de Accion 2018'!BB112,AC22&lt;&gt;"N/A"))</xm:f>
            <x14:dxf>
              <fill>
                <patternFill>
                  <bgColor rgb="FF00B050"/>
                </patternFill>
              </fill>
            </x14:dxf>
          </x14:cfRule>
          <x14:cfRule type="expression" priority="5187" stopIfTrue="1" id="{13466565-A595-4D32-9FD4-CBEA8CA005B4}">
            <xm:f>AND(IF(AC22&lt;'Plan de Accion 2018'!BB112,AC22&lt;&gt;"N/A"))</xm:f>
            <x14:dxf>
              <fill>
                <patternFill>
                  <bgColor indexed="10"/>
                </patternFill>
              </fill>
            </x14:dxf>
          </x14:cfRule>
          <xm:sqref>AC22</xm:sqref>
        </x14:conditionalFormatting>
        <x14:conditionalFormatting xmlns:xm="http://schemas.microsoft.com/office/excel/2006/main">
          <x14:cfRule type="expression" priority="5170" id="{EF91FFB7-73FE-4E00-A85C-9930A2E457B8}">
            <xm:f>AND(IF(AC28&gt;'Plan de Accion 2018'!BB110,AC28&lt;&gt;¨N/A¨))</xm:f>
            <x14:dxf>
              <fill>
                <patternFill>
                  <bgColor theme="1" tint="0.499984740745262"/>
                </patternFill>
              </fill>
            </x14:dxf>
          </x14:cfRule>
          <x14:cfRule type="expression" priority="5171" stopIfTrue="1" id="{E660BA31-4813-4C7E-989E-6563B904DEBE}">
            <xm:f>AND(IF(AC28='Plan de Accion 2018'!BB110,AC28&lt;&gt;"N/A"))</xm:f>
            <x14:dxf>
              <fill>
                <patternFill>
                  <bgColor rgb="FF00B050"/>
                </patternFill>
              </fill>
            </x14:dxf>
          </x14:cfRule>
          <x14:cfRule type="expression" priority="5172" stopIfTrue="1" id="{5F36C6BC-55DB-447A-A65C-7B808C15CBCA}">
            <xm:f>AND(IF(AC28&lt;'Plan de Accion 2018'!BB110,AC28&lt;&gt;"N/A"))</xm:f>
            <x14:dxf>
              <fill>
                <patternFill>
                  <bgColor indexed="10"/>
                </patternFill>
              </fill>
            </x14:dxf>
          </x14:cfRule>
          <xm:sqref>AC28:AC29 AC31:AC34</xm:sqref>
        </x14:conditionalFormatting>
        <x14:conditionalFormatting xmlns:xm="http://schemas.microsoft.com/office/excel/2006/main">
          <x14:cfRule type="expression" priority="5158" id="{2837BB7E-420C-49ED-B9A1-CBA32BD07DFA}">
            <xm:f>AND(IF(AC156&gt;'Plan de Accion 2018'!BB125,AC156&lt;&gt;¨N/A¨))</xm:f>
            <x14:dxf>
              <fill>
                <patternFill>
                  <bgColor theme="1" tint="0.499984740745262"/>
                </patternFill>
              </fill>
            </x14:dxf>
          </x14:cfRule>
          <x14:cfRule type="expression" priority="5159" stopIfTrue="1" id="{D13AEA9A-B98C-4254-9E17-6D08574C0136}">
            <xm:f>AND(IF(AC156='Plan de Accion 2018'!BB125,AC156&lt;&gt;"N/A"))</xm:f>
            <x14:dxf>
              <fill>
                <patternFill>
                  <bgColor rgb="FF00B050"/>
                </patternFill>
              </fill>
            </x14:dxf>
          </x14:cfRule>
          <x14:cfRule type="expression" priority="5160" stopIfTrue="1" id="{1D4B924E-9FC7-4DAC-AFD8-08653AAD98CF}">
            <xm:f>AND(IF(AC156&lt;'Plan de Accion 2018'!BB125,AC156&lt;&gt;"N/A"))</xm:f>
            <x14:dxf>
              <fill>
                <patternFill>
                  <bgColor indexed="10"/>
                </patternFill>
              </fill>
            </x14:dxf>
          </x14:cfRule>
          <xm:sqref>AC156:AC159</xm:sqref>
        </x14:conditionalFormatting>
        <x14:conditionalFormatting xmlns:xm="http://schemas.microsoft.com/office/excel/2006/main">
          <x14:cfRule type="expression" priority="5152" id="{A5B72F2B-F1F0-4BF0-A4CF-C2A53293F2B5}">
            <xm:f>AND(IF(AC36&gt;'Plan de Accion 2018'!BB142,AC36&lt;&gt;¨N/A¨))</xm:f>
            <x14:dxf>
              <fill>
                <patternFill>
                  <bgColor theme="1" tint="0.499984740745262"/>
                </patternFill>
              </fill>
            </x14:dxf>
          </x14:cfRule>
          <x14:cfRule type="expression" priority="5153" stopIfTrue="1" id="{2B535A83-EE66-4896-B871-01E3801CD721}">
            <xm:f>AND(IF(AC36='Plan de Accion 2018'!BB142,AC36&lt;&gt;"N/A"))</xm:f>
            <x14:dxf>
              <fill>
                <patternFill>
                  <bgColor rgb="FF00B050"/>
                </patternFill>
              </fill>
            </x14:dxf>
          </x14:cfRule>
          <x14:cfRule type="expression" priority="5154" stopIfTrue="1" id="{167D038F-4ACB-4583-A8BA-A78B28C10F87}">
            <xm:f>AND(IF(AC36&lt;'Plan de Accion 2018'!BB142,AC36&lt;&gt;"N/A"))</xm:f>
            <x14:dxf>
              <fill>
                <patternFill>
                  <bgColor indexed="10"/>
                </patternFill>
              </fill>
            </x14:dxf>
          </x14:cfRule>
          <xm:sqref>AC36</xm:sqref>
        </x14:conditionalFormatting>
        <x14:conditionalFormatting xmlns:xm="http://schemas.microsoft.com/office/excel/2006/main">
          <x14:cfRule type="expression" priority="5077" id="{2EC01AA9-18E7-4713-844C-C138CD3CC750}">
            <xm:f>AND(IF(AC160&gt;'Plan de Accion 2018'!BB132,AC160&lt;&gt;¨N/A¨))</xm:f>
            <x14:dxf>
              <fill>
                <patternFill>
                  <bgColor theme="1" tint="0.499984740745262"/>
                </patternFill>
              </fill>
            </x14:dxf>
          </x14:cfRule>
          <x14:cfRule type="expression" priority="5078" stopIfTrue="1" id="{A5BA991E-B542-4B17-B359-415EC248DC6B}">
            <xm:f>AND(IF(AC160='Plan de Accion 2018'!BB132,AC160&lt;&gt;"N/A"))</xm:f>
            <x14:dxf>
              <fill>
                <patternFill>
                  <bgColor rgb="FF00B050"/>
                </patternFill>
              </fill>
            </x14:dxf>
          </x14:cfRule>
          <x14:cfRule type="expression" priority="5079" stopIfTrue="1" id="{4DCAA399-3F92-4452-998A-37E2B7F58234}">
            <xm:f>AND(IF(AC160&lt;'Plan de Accion 2018'!BB132,AC160&lt;&gt;"N/A"))</xm:f>
            <x14:dxf>
              <fill>
                <patternFill>
                  <bgColor indexed="10"/>
                </patternFill>
              </fill>
            </x14:dxf>
          </x14:cfRule>
          <xm:sqref>AC160:AC162</xm:sqref>
        </x14:conditionalFormatting>
        <x14:conditionalFormatting xmlns:xm="http://schemas.microsoft.com/office/excel/2006/main">
          <x14:cfRule type="expression" priority="5068" id="{E171D575-4916-46E8-9CED-4E91E080EEC6}">
            <xm:f>AND(IF(AC66&gt;'Plan de Accion 2018'!BB80,AC66&lt;&gt;¨N/A¨))</xm:f>
            <x14:dxf>
              <fill>
                <patternFill>
                  <bgColor theme="1" tint="0.499984740745262"/>
                </patternFill>
              </fill>
            </x14:dxf>
          </x14:cfRule>
          <x14:cfRule type="expression" priority="5069" stopIfTrue="1" id="{2901BD21-3A4D-487B-9740-516ED0B78149}">
            <xm:f>AND(IF(AC66='Plan de Accion 2018'!BB80,AC66&lt;&gt;"N/A"))</xm:f>
            <x14:dxf>
              <fill>
                <patternFill>
                  <bgColor rgb="FF00B050"/>
                </patternFill>
              </fill>
            </x14:dxf>
          </x14:cfRule>
          <x14:cfRule type="expression" priority="5070" stopIfTrue="1" id="{2320B366-CCC8-4A6E-A914-F9472073C436}">
            <xm:f>AND(IF(AC66&lt;'Plan de Accion 2018'!BB80,AC66&lt;&gt;"N/A"))</xm:f>
            <x14:dxf>
              <fill>
                <patternFill>
                  <bgColor indexed="10"/>
                </patternFill>
              </fill>
            </x14:dxf>
          </x14:cfRule>
          <xm:sqref>AC66:AC68</xm:sqref>
        </x14:conditionalFormatting>
        <x14:conditionalFormatting xmlns:xm="http://schemas.microsoft.com/office/excel/2006/main">
          <x14:cfRule type="expression" priority="5059" id="{9B86AB74-0907-4D85-B5E4-865F5E0AA4C0}">
            <xm:f>AND(IF(AC69&gt;'Plan de Accion 2018'!BB85,AC69&lt;&gt;¨N/A¨))</xm:f>
            <x14:dxf>
              <fill>
                <patternFill>
                  <bgColor theme="1" tint="0.499984740745262"/>
                </patternFill>
              </fill>
            </x14:dxf>
          </x14:cfRule>
          <x14:cfRule type="expression" priority="5060" stopIfTrue="1" id="{2AA8E3A4-7915-4B2A-A468-07EA1237DF57}">
            <xm:f>AND(IF(AC69='Plan de Accion 2018'!BB85,AC69&lt;&gt;"N/A"))</xm:f>
            <x14:dxf>
              <fill>
                <patternFill>
                  <bgColor rgb="FF00B050"/>
                </patternFill>
              </fill>
            </x14:dxf>
          </x14:cfRule>
          <x14:cfRule type="expression" priority="5061" stopIfTrue="1" id="{5A967D02-C6D6-498C-97AC-F381A0AD8721}">
            <xm:f>AND(IF(AC69&lt;'Plan de Accion 2018'!BB85,AC69&lt;&gt;"N/A"))</xm:f>
            <x14:dxf>
              <fill>
                <patternFill>
                  <bgColor indexed="10"/>
                </patternFill>
              </fill>
            </x14:dxf>
          </x14:cfRule>
          <xm:sqref>AC69:AC74</xm:sqref>
        </x14:conditionalFormatting>
        <x14:conditionalFormatting xmlns:xm="http://schemas.microsoft.com/office/excel/2006/main">
          <x14:cfRule type="expression" priority="5047" id="{F09C6FF2-96CA-4B92-AE8B-5B29E6BDA046}">
            <xm:f>AND(IF(AC75&gt;'Plan de Accion 2018'!BB83,AC75&lt;&gt;¨N/A¨))</xm:f>
            <x14:dxf>
              <fill>
                <patternFill>
                  <bgColor theme="1" tint="0.499984740745262"/>
                </patternFill>
              </fill>
            </x14:dxf>
          </x14:cfRule>
          <x14:cfRule type="expression" priority="5048" stopIfTrue="1" id="{B3AA813A-56BA-4A22-805A-2504BD1BED2D}">
            <xm:f>AND(IF(AC75='Plan de Accion 2018'!BB83,AC75&lt;&gt;"N/A"))</xm:f>
            <x14:dxf>
              <fill>
                <patternFill>
                  <bgColor rgb="FF00B050"/>
                </patternFill>
              </fill>
            </x14:dxf>
          </x14:cfRule>
          <x14:cfRule type="expression" priority="5049" stopIfTrue="1" id="{435456D3-AFDD-41D9-93A9-D3194211FDAC}">
            <xm:f>AND(IF(AC75&lt;'Plan de Accion 2018'!BB83,AC75&lt;&gt;"N/A"))</xm:f>
            <x14:dxf>
              <fill>
                <patternFill>
                  <bgColor indexed="10"/>
                </patternFill>
              </fill>
            </x14:dxf>
          </x14:cfRule>
          <xm:sqref>AC75:AC76</xm:sqref>
        </x14:conditionalFormatting>
        <x14:conditionalFormatting xmlns:xm="http://schemas.microsoft.com/office/excel/2006/main">
          <x14:cfRule type="expression" priority="5035" id="{9A6F7F1C-8C66-4D8D-98C2-C49B449EE471}">
            <xm:f>AND(IF(AC82&gt;'Plan de Accion 2018'!BB138,AC82&lt;&gt;¨N/A¨))</xm:f>
            <x14:dxf>
              <fill>
                <patternFill>
                  <bgColor theme="1" tint="0.499984740745262"/>
                </patternFill>
              </fill>
            </x14:dxf>
          </x14:cfRule>
          <x14:cfRule type="expression" priority="5036" stopIfTrue="1" id="{42FF941A-019E-4B5E-A04E-92BFA72B2614}">
            <xm:f>AND(IF(AC82='Plan de Accion 2018'!BB138,AC82&lt;&gt;"N/A"))</xm:f>
            <x14:dxf>
              <fill>
                <patternFill>
                  <bgColor rgb="FF00B050"/>
                </patternFill>
              </fill>
            </x14:dxf>
          </x14:cfRule>
          <x14:cfRule type="expression" priority="5037" stopIfTrue="1" id="{9B34089B-C1F8-4695-896B-AEF4F26D7B63}">
            <xm:f>AND(IF(AC82&lt;'Plan de Accion 2018'!BB138,AC82&lt;&gt;"N/A"))</xm:f>
            <x14:dxf>
              <fill>
                <patternFill>
                  <bgColor indexed="10"/>
                </patternFill>
              </fill>
            </x14:dxf>
          </x14:cfRule>
          <xm:sqref>AC82</xm:sqref>
        </x14:conditionalFormatting>
        <x14:conditionalFormatting xmlns:xm="http://schemas.microsoft.com/office/excel/2006/main">
          <x14:cfRule type="expression" priority="5029" id="{540EA212-494B-4E38-AE8A-4300C4437491}">
            <xm:f>AND(IF(AC83&gt;'Plan de Accion 2018'!BB147,AC83&lt;&gt;¨N/A¨))</xm:f>
            <x14:dxf>
              <fill>
                <patternFill>
                  <bgColor theme="1" tint="0.499984740745262"/>
                </patternFill>
              </fill>
            </x14:dxf>
          </x14:cfRule>
          <x14:cfRule type="expression" priority="5030" stopIfTrue="1" id="{EA466755-9953-499F-B967-CCA99FB004BC}">
            <xm:f>AND(IF(AC83='Plan de Accion 2018'!BB147,AC83&lt;&gt;"N/A"))</xm:f>
            <x14:dxf>
              <fill>
                <patternFill>
                  <bgColor rgb="FF00B050"/>
                </patternFill>
              </fill>
            </x14:dxf>
          </x14:cfRule>
          <x14:cfRule type="expression" priority="5031" stopIfTrue="1" id="{949FF891-CCF2-4C27-816F-6606D37CEEC3}">
            <xm:f>AND(IF(AC83&lt;'Plan de Accion 2018'!BB147,AC83&lt;&gt;"N/A"))</xm:f>
            <x14:dxf>
              <fill>
                <patternFill>
                  <bgColor indexed="10"/>
                </patternFill>
              </fill>
            </x14:dxf>
          </x14:cfRule>
          <xm:sqref>AC83</xm:sqref>
        </x14:conditionalFormatting>
        <x14:conditionalFormatting xmlns:xm="http://schemas.microsoft.com/office/excel/2006/main">
          <x14:cfRule type="expression" priority="5026" id="{7CF30F22-EEB2-4DF7-86CC-4BAC39D15B4F}">
            <xm:f>AND(IF(AC84&gt;'Plan de Accion 2018'!BB149,AC84&lt;&gt;¨N/A¨))</xm:f>
            <x14:dxf>
              <fill>
                <patternFill>
                  <bgColor theme="1" tint="0.499984740745262"/>
                </patternFill>
              </fill>
            </x14:dxf>
          </x14:cfRule>
          <x14:cfRule type="expression" priority="5027" stopIfTrue="1" id="{3F6BF28B-F5C1-44E5-B06A-E9AD1501B96D}">
            <xm:f>AND(IF(AC84='Plan de Accion 2018'!BB149,AC84&lt;&gt;"N/A"))</xm:f>
            <x14:dxf>
              <fill>
                <patternFill>
                  <bgColor rgb="FF00B050"/>
                </patternFill>
              </fill>
            </x14:dxf>
          </x14:cfRule>
          <x14:cfRule type="expression" priority="5028" stopIfTrue="1" id="{A4331090-5CE7-4C23-A710-52265AC79352}">
            <xm:f>AND(IF(AC84&lt;'Plan de Accion 2018'!BB149,AC84&lt;&gt;"N/A"))</xm:f>
            <x14:dxf>
              <fill>
                <patternFill>
                  <bgColor indexed="10"/>
                </patternFill>
              </fill>
            </x14:dxf>
          </x14:cfRule>
          <xm:sqref>AC84</xm:sqref>
        </x14:conditionalFormatting>
        <x14:conditionalFormatting xmlns:xm="http://schemas.microsoft.com/office/excel/2006/main">
          <x14:cfRule type="expression" priority="5023" id="{D5D5755F-68F2-48FF-95BC-ACD825924274}">
            <xm:f>AND(IF(AC85&gt;'Plan de Accion 2018'!BB125,AC85&lt;&gt;¨N/A¨))</xm:f>
            <x14:dxf>
              <fill>
                <patternFill>
                  <bgColor theme="1" tint="0.499984740745262"/>
                </patternFill>
              </fill>
            </x14:dxf>
          </x14:cfRule>
          <x14:cfRule type="expression" priority="5024" stopIfTrue="1" id="{189C78F4-BCF8-447C-9EDA-1903EA1BE458}">
            <xm:f>AND(IF(AC85='Plan de Accion 2018'!BB125,AC85&lt;&gt;"N/A"))</xm:f>
            <x14:dxf>
              <fill>
                <patternFill>
                  <bgColor rgb="FF00B050"/>
                </patternFill>
              </fill>
            </x14:dxf>
          </x14:cfRule>
          <x14:cfRule type="expression" priority="5025" stopIfTrue="1" id="{270E8914-F7A9-4B25-9DC1-B48080DB7DA1}">
            <xm:f>AND(IF(AC85&lt;'Plan de Accion 2018'!BB125,AC85&lt;&gt;"N/A"))</xm:f>
            <x14:dxf>
              <fill>
                <patternFill>
                  <bgColor indexed="10"/>
                </patternFill>
              </fill>
            </x14:dxf>
          </x14:cfRule>
          <xm:sqref>AC85:AC86 AC90</xm:sqref>
        </x14:conditionalFormatting>
        <x14:conditionalFormatting xmlns:xm="http://schemas.microsoft.com/office/excel/2006/main">
          <x14:cfRule type="expression" priority="5017" id="{43CB3B66-0B6F-4761-9CDB-4B10CF1C8AAE}">
            <xm:f>AND(IF(AC91&gt;'Plan de Accion 2018'!BB132,AC91&lt;&gt;¨N/A¨))</xm:f>
            <x14:dxf>
              <fill>
                <patternFill>
                  <bgColor theme="1" tint="0.499984740745262"/>
                </patternFill>
              </fill>
            </x14:dxf>
          </x14:cfRule>
          <x14:cfRule type="expression" priority="5018" stopIfTrue="1" id="{554B9490-8BFA-4768-A6E2-3B948446AB09}">
            <xm:f>AND(IF(AC91='Plan de Accion 2018'!BB132,AC91&lt;&gt;"N/A"))</xm:f>
            <x14:dxf>
              <fill>
                <patternFill>
                  <bgColor rgb="FF00B050"/>
                </patternFill>
              </fill>
            </x14:dxf>
          </x14:cfRule>
          <x14:cfRule type="expression" priority="5019" stopIfTrue="1" id="{AFFE676B-4C5C-4F02-8780-3DEE1BA9A295}">
            <xm:f>AND(IF(AC91&lt;'Plan de Accion 2018'!BB132,AC91&lt;&gt;"N/A"))</xm:f>
            <x14:dxf>
              <fill>
                <patternFill>
                  <bgColor indexed="10"/>
                </patternFill>
              </fill>
            </x14:dxf>
          </x14:cfRule>
          <xm:sqref>AC94 AC91</xm:sqref>
        </x14:conditionalFormatting>
        <x14:conditionalFormatting xmlns:xm="http://schemas.microsoft.com/office/excel/2006/main">
          <x14:cfRule type="expression" priority="5011" id="{E175395C-0823-4BAF-960C-501F3DF051BA}">
            <xm:f>AND(IF(AC95&gt;'Plan de Accion 2018'!BB139,AC95&lt;&gt;¨N/A¨))</xm:f>
            <x14:dxf>
              <fill>
                <patternFill>
                  <bgColor theme="1" tint="0.499984740745262"/>
                </patternFill>
              </fill>
            </x14:dxf>
          </x14:cfRule>
          <x14:cfRule type="expression" priority="5012" stopIfTrue="1" id="{51626130-7ACD-45D9-9C4A-B261B1AFB2D7}">
            <xm:f>AND(IF(AC95='Plan de Accion 2018'!BB139,AC95&lt;&gt;"N/A"))</xm:f>
            <x14:dxf>
              <fill>
                <patternFill>
                  <bgColor rgb="FF00B050"/>
                </patternFill>
              </fill>
            </x14:dxf>
          </x14:cfRule>
          <x14:cfRule type="expression" priority="5013" stopIfTrue="1" id="{D6ACAD17-37F7-4651-95B0-83D27B414808}">
            <xm:f>AND(IF(AC95&lt;'Plan de Accion 2018'!BB139,AC95&lt;&gt;"N/A"))</xm:f>
            <x14:dxf>
              <fill>
                <patternFill>
                  <bgColor indexed="10"/>
                </patternFill>
              </fill>
            </x14:dxf>
          </x14:cfRule>
          <xm:sqref>AC95</xm:sqref>
        </x14:conditionalFormatting>
        <x14:conditionalFormatting xmlns:xm="http://schemas.microsoft.com/office/excel/2006/main">
          <x14:cfRule type="expression" priority="5008" id="{D21822B9-11BE-45BA-A568-CE7248CF65F6}">
            <xm:f>AND(IF(AC96&gt;'Plan de Accion 2018'!BB154,AC96&lt;&gt;¨N/A¨))</xm:f>
            <x14:dxf>
              <fill>
                <patternFill>
                  <bgColor theme="1" tint="0.499984740745262"/>
                </patternFill>
              </fill>
            </x14:dxf>
          </x14:cfRule>
          <x14:cfRule type="expression" priority="5009" stopIfTrue="1" id="{0A821F0F-C72D-4F0A-A250-223F0B9E951B}">
            <xm:f>AND(IF(AC96='Plan de Accion 2018'!BB154,AC96&lt;&gt;"N/A"))</xm:f>
            <x14:dxf>
              <fill>
                <patternFill>
                  <bgColor rgb="FF00B050"/>
                </patternFill>
              </fill>
            </x14:dxf>
          </x14:cfRule>
          <x14:cfRule type="expression" priority="5010" stopIfTrue="1" id="{D044250D-4D93-4F22-8220-68AAA9C4431F}">
            <xm:f>AND(IF(AC96&lt;'Plan de Accion 2018'!BB154,AC96&lt;&gt;"N/A"))</xm:f>
            <x14:dxf>
              <fill>
                <patternFill>
                  <bgColor indexed="10"/>
                </patternFill>
              </fill>
            </x14:dxf>
          </x14:cfRule>
          <xm:sqref>AC96</xm:sqref>
        </x14:conditionalFormatting>
        <x14:conditionalFormatting xmlns:xm="http://schemas.microsoft.com/office/excel/2006/main">
          <x14:cfRule type="expression" priority="5005" id="{6E1D04E1-2C78-4608-9673-B7A426C56749}">
            <xm:f>AND(IF(AC35&gt;'Plan de Accion 2018'!BB9,AC35&lt;&gt;¨N/A¨))</xm:f>
            <x14:dxf>
              <fill>
                <patternFill>
                  <bgColor theme="1" tint="0.499984740745262"/>
                </patternFill>
              </fill>
            </x14:dxf>
          </x14:cfRule>
          <x14:cfRule type="expression" priority="5006" stopIfTrue="1" id="{05354935-4351-4328-9AC3-CD3C7B3277AD}">
            <xm:f>AND(IF(AC35='Plan de Accion 2018'!BB9,AC35&lt;&gt;"N/A"))</xm:f>
            <x14:dxf>
              <fill>
                <patternFill>
                  <bgColor rgb="FF00B050"/>
                </patternFill>
              </fill>
            </x14:dxf>
          </x14:cfRule>
          <x14:cfRule type="expression" priority="5007" stopIfTrue="1" id="{E1D9787B-9993-4508-BABB-E97010597B51}">
            <xm:f>AND(IF(AC35&lt;'Plan de Accion 2018'!BB9,AC35&lt;&gt;"N/A"))</xm:f>
            <x14:dxf>
              <fill>
                <patternFill>
                  <bgColor indexed="10"/>
                </patternFill>
              </fill>
            </x14:dxf>
          </x14:cfRule>
          <xm:sqref>AC163 AC35</xm:sqref>
        </x14:conditionalFormatting>
        <x14:conditionalFormatting xmlns:xm="http://schemas.microsoft.com/office/excel/2006/main">
          <x14:cfRule type="expression" priority="5002" id="{6D896BDB-6D5B-4222-93E6-E0259719579B}">
            <xm:f>AND(IF(AC175&gt;'Plan de Accion 2018'!BB122,AC175&lt;&gt;¨N/A¨))</xm:f>
            <x14:dxf>
              <fill>
                <patternFill>
                  <bgColor theme="1" tint="0.499984740745262"/>
                </patternFill>
              </fill>
            </x14:dxf>
          </x14:cfRule>
          <x14:cfRule type="expression" priority="5003" stopIfTrue="1" id="{2CA64479-C4F8-459E-9FDD-2B5B5F34A102}">
            <xm:f>AND(IF(AC175='Plan de Accion 2018'!BB122,AC175&lt;&gt;"N/A"))</xm:f>
            <x14:dxf>
              <fill>
                <patternFill>
                  <bgColor rgb="FF00B050"/>
                </patternFill>
              </fill>
            </x14:dxf>
          </x14:cfRule>
          <x14:cfRule type="expression" priority="5004" stopIfTrue="1" id="{2121FBCC-C566-4579-BB83-8963027BF904}">
            <xm:f>AND(IF(AC175&lt;'Plan de Accion 2018'!BB122,AC175&lt;&gt;"N/A"))</xm:f>
            <x14:dxf>
              <fill>
                <patternFill>
                  <bgColor indexed="10"/>
                </patternFill>
              </fill>
            </x14:dxf>
          </x14:cfRule>
          <xm:sqref>AC175</xm:sqref>
        </x14:conditionalFormatting>
        <x14:conditionalFormatting xmlns:xm="http://schemas.microsoft.com/office/excel/2006/main">
          <x14:cfRule type="expression" priority="4999" id="{39C31298-ABB6-4768-8024-9B7ECC712D22}">
            <xm:f>AND(IF(AC101&gt;'Plan de Accion 2018'!BB53,AC101&lt;&gt;¨N/A¨))</xm:f>
            <x14:dxf>
              <fill>
                <patternFill>
                  <bgColor theme="1" tint="0.499984740745262"/>
                </patternFill>
              </fill>
            </x14:dxf>
          </x14:cfRule>
          <x14:cfRule type="expression" priority="5000" stopIfTrue="1" id="{E8068A5C-54A3-47DB-BF80-834F9D92D8C9}">
            <xm:f>AND(IF(AC101='Plan de Accion 2018'!BB53,AC101&lt;&gt;"N/A"))</xm:f>
            <x14:dxf>
              <fill>
                <patternFill>
                  <bgColor rgb="FF00B050"/>
                </patternFill>
              </fill>
            </x14:dxf>
          </x14:cfRule>
          <x14:cfRule type="expression" priority="5001" stopIfTrue="1" id="{E0832979-7FDC-4D84-BF3A-4F6DF461BAB5}">
            <xm:f>AND(IF(AC101&lt;'Plan de Accion 2018'!BB53,AC101&lt;&gt;"N/A"))</xm:f>
            <x14:dxf>
              <fill>
                <patternFill>
                  <bgColor indexed="10"/>
                </patternFill>
              </fill>
            </x14:dxf>
          </x14:cfRule>
          <xm:sqref>AC101</xm:sqref>
        </x14:conditionalFormatting>
        <x14:conditionalFormatting xmlns:xm="http://schemas.microsoft.com/office/excel/2006/main">
          <x14:cfRule type="expression" priority="4993" id="{0DE65955-29D3-467E-9D7E-461E0D1F6796}">
            <xm:f>AND(IF(AC104&gt;'Plan de Accion 2018'!BB68,AC104&lt;&gt;¨N/A¨))</xm:f>
            <x14:dxf>
              <fill>
                <patternFill>
                  <bgColor theme="1" tint="0.499984740745262"/>
                </patternFill>
              </fill>
            </x14:dxf>
          </x14:cfRule>
          <x14:cfRule type="expression" priority="4994" stopIfTrue="1" id="{8591A951-24EA-452A-9E87-65F197BFDAAB}">
            <xm:f>AND(IF(AC104='Plan de Accion 2018'!BB68,AC104&lt;&gt;"N/A"))</xm:f>
            <x14:dxf>
              <fill>
                <patternFill>
                  <bgColor rgb="FF00B050"/>
                </patternFill>
              </fill>
            </x14:dxf>
          </x14:cfRule>
          <x14:cfRule type="expression" priority="4995" stopIfTrue="1" id="{7A9B458C-E1E5-488A-8D6D-C27A5A025779}">
            <xm:f>AND(IF(AC104&lt;'Plan de Accion 2018'!BB68,AC104&lt;&gt;"N/A"))</xm:f>
            <x14:dxf>
              <fill>
                <patternFill>
                  <bgColor indexed="10"/>
                </patternFill>
              </fill>
            </x14:dxf>
          </x14:cfRule>
          <xm:sqref>AC176 AC104:AC105</xm:sqref>
        </x14:conditionalFormatting>
        <x14:conditionalFormatting xmlns:xm="http://schemas.microsoft.com/office/excel/2006/main">
          <x14:cfRule type="expression" priority="4981" id="{F7DF0E2D-3A25-43C6-BCB8-52C8454E2459}">
            <xm:f>AND(IF(AC108&gt;'Plan de Accion 2018'!BB95,AC108&lt;&gt;¨N/A¨))</xm:f>
            <x14:dxf>
              <fill>
                <patternFill>
                  <bgColor theme="1" tint="0.499984740745262"/>
                </patternFill>
              </fill>
            </x14:dxf>
          </x14:cfRule>
          <x14:cfRule type="expression" priority="4982" stopIfTrue="1" id="{0B0D2FE2-C739-4FC8-9566-11E0A4A60F44}">
            <xm:f>AND(IF(AC108='Plan de Accion 2018'!BB95,AC108&lt;&gt;"N/A"))</xm:f>
            <x14:dxf>
              <fill>
                <patternFill>
                  <bgColor rgb="FF00B050"/>
                </patternFill>
              </fill>
            </x14:dxf>
          </x14:cfRule>
          <x14:cfRule type="expression" priority="4983" stopIfTrue="1" id="{20DBA972-7103-49E5-8004-ABA88228EA64}">
            <xm:f>AND(IF(AC108&lt;'Plan de Accion 2018'!BB95,AC108&lt;&gt;"N/A"))</xm:f>
            <x14:dxf>
              <fill>
                <patternFill>
                  <bgColor indexed="10"/>
                </patternFill>
              </fill>
            </x14:dxf>
          </x14:cfRule>
          <xm:sqref>AC108:AC111</xm:sqref>
        </x14:conditionalFormatting>
        <x14:conditionalFormatting xmlns:xm="http://schemas.microsoft.com/office/excel/2006/main">
          <x14:cfRule type="expression" priority="4969" id="{9F41F7FF-FB81-46DF-A8B3-BA07A5D3D91B}">
            <xm:f>AND(IF(AC112&gt;'Plan de Accion 2018'!BB107,AC112&lt;&gt;¨N/A¨))</xm:f>
            <x14:dxf>
              <fill>
                <patternFill>
                  <bgColor theme="1" tint="0.499984740745262"/>
                </patternFill>
              </fill>
            </x14:dxf>
          </x14:cfRule>
          <x14:cfRule type="expression" priority="4970" stopIfTrue="1" id="{94A4C78C-DC3F-4E02-82E0-A4E767E81879}">
            <xm:f>AND(IF(AC112='Plan de Accion 2018'!BB107,AC112&lt;&gt;"N/A"))</xm:f>
            <x14:dxf>
              <fill>
                <patternFill>
                  <bgColor rgb="FF00B050"/>
                </patternFill>
              </fill>
            </x14:dxf>
          </x14:cfRule>
          <x14:cfRule type="expression" priority="4971" stopIfTrue="1" id="{0961B44B-355A-4105-BC91-4038A68F9E0E}">
            <xm:f>AND(IF(AC112&lt;'Plan de Accion 2018'!BB107,AC112&lt;&gt;"N/A"))</xm:f>
            <x14:dxf>
              <fill>
                <patternFill>
                  <bgColor indexed="10"/>
                </patternFill>
              </fill>
            </x14:dxf>
          </x14:cfRule>
          <xm:sqref>AC112</xm:sqref>
        </x14:conditionalFormatting>
        <x14:conditionalFormatting xmlns:xm="http://schemas.microsoft.com/office/excel/2006/main">
          <x14:cfRule type="expression" priority="4963" id="{5073F1AF-3CD9-4F21-8B84-D3DD5F5D1943}">
            <xm:f>AND(IF(AC185&gt;'Plan de Accion 2018'!BB77,AC185&lt;&gt;¨N/A¨))</xm:f>
            <x14:dxf>
              <fill>
                <patternFill>
                  <bgColor theme="1" tint="0.499984740745262"/>
                </patternFill>
              </fill>
            </x14:dxf>
          </x14:cfRule>
          <x14:cfRule type="expression" priority="4964" stopIfTrue="1" id="{767518DC-8C31-42E8-A090-0551748A2987}">
            <xm:f>AND(IF(AC185='Plan de Accion 2018'!BB77,AC185&lt;&gt;"N/A"))</xm:f>
            <x14:dxf>
              <fill>
                <patternFill>
                  <bgColor rgb="FF00B050"/>
                </patternFill>
              </fill>
            </x14:dxf>
          </x14:cfRule>
          <x14:cfRule type="expression" priority="4965" stopIfTrue="1" id="{44B32A7A-BD11-49C1-8FEF-7804C43A49B9}">
            <xm:f>AND(IF(AC185&lt;'Plan de Accion 2018'!BB77,AC185&lt;&gt;"N/A"))</xm:f>
            <x14:dxf>
              <fill>
                <patternFill>
                  <bgColor indexed="10"/>
                </patternFill>
              </fill>
            </x14:dxf>
          </x14:cfRule>
          <xm:sqref>AC185:AC186</xm:sqref>
        </x14:conditionalFormatting>
        <x14:conditionalFormatting xmlns:xm="http://schemas.microsoft.com/office/excel/2006/main">
          <x14:cfRule type="expression" priority="4951" id="{7820C9B1-7D13-4F43-81D5-428B63264697}">
            <xm:f>AND(IF(AC117&gt;'Plan de Accion 2018'!BB119,AC117&lt;&gt;¨N/A¨))</xm:f>
            <x14:dxf>
              <fill>
                <patternFill>
                  <bgColor theme="1" tint="0.499984740745262"/>
                </patternFill>
              </fill>
            </x14:dxf>
          </x14:cfRule>
          <x14:cfRule type="expression" priority="4952" stopIfTrue="1" id="{FC8C08A1-2453-4282-9C85-CC1C89743B34}">
            <xm:f>AND(IF(AC117='Plan de Accion 2018'!BB119,AC117&lt;&gt;"N/A"))</xm:f>
            <x14:dxf>
              <fill>
                <patternFill>
                  <bgColor rgb="FF00B050"/>
                </patternFill>
              </fill>
            </x14:dxf>
          </x14:cfRule>
          <x14:cfRule type="expression" priority="4953" stopIfTrue="1" id="{F58CE29C-2839-43BF-A068-CDBAD0C581EF}">
            <xm:f>AND(IF(AC117&lt;'Plan de Accion 2018'!BB119,AC117&lt;&gt;"N/A"))</xm:f>
            <x14:dxf>
              <fill>
                <patternFill>
                  <bgColor indexed="10"/>
                </patternFill>
              </fill>
            </x14:dxf>
          </x14:cfRule>
          <xm:sqref>AC117:AC120</xm:sqref>
        </x14:conditionalFormatting>
        <x14:conditionalFormatting xmlns:xm="http://schemas.microsoft.com/office/excel/2006/main">
          <x14:cfRule type="expression" priority="4948" id="{F73FA909-525B-40DE-BB61-D3D073D0F15D}">
            <xm:f>AND(IF(AC121&gt;'Plan de Accion 2018'!BB141,AC121&lt;&gt;¨N/A¨))</xm:f>
            <x14:dxf>
              <fill>
                <patternFill>
                  <bgColor theme="1" tint="0.499984740745262"/>
                </patternFill>
              </fill>
            </x14:dxf>
          </x14:cfRule>
          <x14:cfRule type="expression" priority="4949" stopIfTrue="1" id="{43BF1975-8F97-4317-8E29-9AC9BFA26B9A}">
            <xm:f>AND(IF(AC121='Plan de Accion 2018'!BB141,AC121&lt;&gt;"N/A"))</xm:f>
            <x14:dxf>
              <fill>
                <patternFill>
                  <bgColor rgb="FF00B050"/>
                </patternFill>
              </fill>
            </x14:dxf>
          </x14:cfRule>
          <x14:cfRule type="expression" priority="4950" stopIfTrue="1" id="{46706645-CE4B-4F62-A634-EDC7284A82B0}">
            <xm:f>AND(IF(AC121&lt;'Plan de Accion 2018'!BB141,AC121&lt;&gt;"N/A"))</xm:f>
            <x14:dxf>
              <fill>
                <patternFill>
                  <bgColor indexed="10"/>
                </patternFill>
              </fill>
            </x14:dxf>
          </x14:cfRule>
          <xm:sqref>AC121</xm:sqref>
        </x14:conditionalFormatting>
        <x14:conditionalFormatting xmlns:xm="http://schemas.microsoft.com/office/excel/2006/main">
          <x14:cfRule type="expression" priority="4945" id="{4D94821D-4E8E-43B0-9CF5-545C0AF0A0D7}">
            <xm:f>AND(IF(AC122&gt;'Plan de Accion 2018'!BB143,AC122&lt;&gt;¨N/A¨))</xm:f>
            <x14:dxf>
              <fill>
                <patternFill>
                  <bgColor theme="1" tint="0.499984740745262"/>
                </patternFill>
              </fill>
            </x14:dxf>
          </x14:cfRule>
          <x14:cfRule type="expression" priority="4946" stopIfTrue="1" id="{38DE079F-6BE3-47AB-8C9F-636CC3D2612E}">
            <xm:f>AND(IF(AC122='Plan de Accion 2018'!BB143,AC122&lt;&gt;"N/A"))</xm:f>
            <x14:dxf>
              <fill>
                <patternFill>
                  <bgColor rgb="FF00B050"/>
                </patternFill>
              </fill>
            </x14:dxf>
          </x14:cfRule>
          <x14:cfRule type="expression" priority="4947" stopIfTrue="1" id="{82B6F224-6814-4D88-849D-5C23B776C0CF}">
            <xm:f>AND(IF(AC122&lt;'Plan de Accion 2018'!BB143,AC122&lt;&gt;"N/A"))</xm:f>
            <x14:dxf>
              <fill>
                <patternFill>
                  <bgColor indexed="10"/>
                </patternFill>
              </fill>
            </x14:dxf>
          </x14:cfRule>
          <xm:sqref>AC122</xm:sqref>
        </x14:conditionalFormatting>
        <x14:conditionalFormatting xmlns:xm="http://schemas.microsoft.com/office/excel/2006/main">
          <x14:cfRule type="expression" priority="4942" id="{D738C595-0AB1-410B-A82F-B93BCE90122F}">
            <xm:f>AND(IF(AC200&gt;'Plan de Accion 2018'!BB120,AC200&lt;&gt;¨N/A¨))</xm:f>
            <x14:dxf>
              <fill>
                <patternFill>
                  <bgColor theme="1" tint="0.499984740745262"/>
                </patternFill>
              </fill>
            </x14:dxf>
          </x14:cfRule>
          <x14:cfRule type="expression" priority="4943" stopIfTrue="1" id="{8B858AC2-8231-453C-A5E2-30898E1005DB}">
            <xm:f>AND(IF(AC200='Plan de Accion 2018'!BB120,AC200&lt;&gt;"N/A"))</xm:f>
            <x14:dxf>
              <fill>
                <patternFill>
                  <bgColor rgb="FF00B050"/>
                </patternFill>
              </fill>
            </x14:dxf>
          </x14:cfRule>
          <x14:cfRule type="expression" priority="4944" stopIfTrue="1" id="{E92F9A76-B53A-40C2-9813-3DB56118F4F4}">
            <xm:f>AND(IF(AC200&lt;'Plan de Accion 2018'!BB120,AC200&lt;&gt;"N/A"))</xm:f>
            <x14:dxf>
              <fill>
                <patternFill>
                  <bgColor indexed="10"/>
                </patternFill>
              </fill>
            </x14:dxf>
          </x14:cfRule>
          <xm:sqref>AC215:AC216 AC200</xm:sqref>
        </x14:conditionalFormatting>
        <x14:conditionalFormatting xmlns:xm="http://schemas.microsoft.com/office/excel/2006/main">
          <x14:cfRule type="expression" priority="4897" id="{8B58AC9B-2564-4851-8CF7-81257112D782}">
            <xm:f>AND(IF(AC139&gt;'Plan de Accion 2018'!BB67,AC139&lt;&gt;¨N/A¨))</xm:f>
            <x14:dxf>
              <fill>
                <patternFill>
                  <bgColor theme="1" tint="0.499984740745262"/>
                </patternFill>
              </fill>
            </x14:dxf>
          </x14:cfRule>
          <x14:cfRule type="expression" priority="4898" stopIfTrue="1" id="{CBE98F63-D54E-4FD7-9218-3242597E0E0E}">
            <xm:f>AND(IF(AC139='Plan de Accion 2018'!BB67,AC139&lt;&gt;"N/A"))</xm:f>
            <x14:dxf>
              <fill>
                <patternFill>
                  <bgColor rgb="FF00B050"/>
                </patternFill>
              </fill>
            </x14:dxf>
          </x14:cfRule>
          <x14:cfRule type="expression" priority="4899" stopIfTrue="1" id="{1885236D-6AAD-45DD-8743-8FDF30875EC2}">
            <xm:f>AND(IF(AC139&lt;'Plan de Accion 2018'!BB67,AC139&lt;&gt;"N/A"))</xm:f>
            <x14:dxf>
              <fill>
                <patternFill>
                  <bgColor indexed="10"/>
                </patternFill>
              </fill>
            </x14:dxf>
          </x14:cfRule>
          <xm:sqref>AC139:AC142</xm:sqref>
        </x14:conditionalFormatting>
        <x14:conditionalFormatting xmlns:xm="http://schemas.microsoft.com/office/excel/2006/main">
          <x14:cfRule type="expression" priority="4888" id="{FDA65EEB-C2CF-4D14-B21D-64EEFDFE10EA}">
            <xm:f>AND(IF(AC143&gt;'Plan de Accion 2018'!BB72,AC143&lt;&gt;¨N/A¨))</xm:f>
            <x14:dxf>
              <fill>
                <patternFill>
                  <bgColor theme="1" tint="0.499984740745262"/>
                </patternFill>
              </fill>
            </x14:dxf>
          </x14:cfRule>
          <x14:cfRule type="expression" priority="4889" stopIfTrue="1" id="{23205572-B7FA-4C76-BC9E-33A54BDB8B80}">
            <xm:f>AND(IF(AC143='Plan de Accion 2018'!BB72,AC143&lt;&gt;"N/A"))</xm:f>
            <x14:dxf>
              <fill>
                <patternFill>
                  <bgColor rgb="FF00B050"/>
                </patternFill>
              </fill>
            </x14:dxf>
          </x14:cfRule>
          <x14:cfRule type="expression" priority="4890" stopIfTrue="1" id="{B50BA2C5-DC7F-470E-86A2-0B4D5002FFDD}">
            <xm:f>AND(IF(AC143&lt;'Plan de Accion 2018'!BB72,AC143&lt;&gt;"N/A"))</xm:f>
            <x14:dxf>
              <fill>
                <patternFill>
                  <bgColor indexed="10"/>
                </patternFill>
              </fill>
            </x14:dxf>
          </x14:cfRule>
          <xm:sqref>AC143</xm:sqref>
        </x14:conditionalFormatting>
        <x14:conditionalFormatting xmlns:xm="http://schemas.microsoft.com/office/excel/2006/main">
          <x14:cfRule type="expression" priority="4885" id="{D89E0A52-3EAD-4483-85E3-230DCE6CCF64}">
            <xm:f>AND(IF(AC144&gt;'Plan de Accion 2018'!BB74,AC144&lt;&gt;¨N/A¨))</xm:f>
            <x14:dxf>
              <fill>
                <patternFill>
                  <bgColor theme="1" tint="0.499984740745262"/>
                </patternFill>
              </fill>
            </x14:dxf>
          </x14:cfRule>
          <x14:cfRule type="expression" priority="4886" stopIfTrue="1" id="{7E9967FF-7D3E-4AA8-A92F-849FBE866CAB}">
            <xm:f>AND(IF(AC144='Plan de Accion 2018'!BB74,AC144&lt;&gt;"N/A"))</xm:f>
            <x14:dxf>
              <fill>
                <patternFill>
                  <bgColor rgb="FF00B050"/>
                </patternFill>
              </fill>
            </x14:dxf>
          </x14:cfRule>
          <x14:cfRule type="expression" priority="4887" stopIfTrue="1" id="{B2A33090-D151-45D8-95A1-ADB520464634}">
            <xm:f>AND(IF(AC144&lt;'Plan de Accion 2018'!BB74,AC144&lt;&gt;"N/A"))</xm:f>
            <x14:dxf>
              <fill>
                <patternFill>
                  <bgColor indexed="10"/>
                </patternFill>
              </fill>
            </x14:dxf>
          </x14:cfRule>
          <xm:sqref>AC144:AC145</xm:sqref>
        </x14:conditionalFormatting>
        <x14:conditionalFormatting xmlns:xm="http://schemas.microsoft.com/office/excel/2006/main">
          <x14:cfRule type="expression" priority="4879" id="{B648ED92-28A1-4806-A183-FA5CB89E7712}">
            <xm:f>AND(IF(AC147&gt;'Plan de Accion 2018'!BB36,AC147&lt;&gt;¨N/A¨))</xm:f>
            <x14:dxf>
              <fill>
                <patternFill>
                  <bgColor theme="1" tint="0.499984740745262"/>
                </patternFill>
              </fill>
            </x14:dxf>
          </x14:cfRule>
          <x14:cfRule type="expression" priority="4880" stopIfTrue="1" id="{FC9E04DF-CB56-4E9E-B7CA-70B72D89611B}">
            <xm:f>AND(IF(AC147='Plan de Accion 2018'!BB36,AC147&lt;&gt;"N/A"))</xm:f>
            <x14:dxf>
              <fill>
                <patternFill>
                  <bgColor rgb="FF00B050"/>
                </patternFill>
              </fill>
            </x14:dxf>
          </x14:cfRule>
          <x14:cfRule type="expression" priority="4881" stopIfTrue="1" id="{4185C57B-F500-4A4B-A016-CFEA741B26B4}">
            <xm:f>AND(IF(AC147&lt;'Plan de Accion 2018'!BB36,AC147&lt;&gt;"N/A"))</xm:f>
            <x14:dxf>
              <fill>
                <patternFill>
                  <bgColor indexed="10"/>
                </patternFill>
              </fill>
            </x14:dxf>
          </x14:cfRule>
          <xm:sqref>AC147:AC154</xm:sqref>
        </x14:conditionalFormatting>
        <x14:conditionalFormatting xmlns:xm="http://schemas.microsoft.com/office/excel/2006/main">
          <x14:cfRule type="expression" priority="4831" id="{14A93AE5-ED2E-4884-BC84-1B891A3FE589}">
            <xm:f>AND(IF(AC164&gt;'Plan de Accion 2018'!BB139,AC164&lt;&gt;¨N/A¨))</xm:f>
            <x14:dxf>
              <fill>
                <patternFill>
                  <bgColor theme="1" tint="0.499984740745262"/>
                </patternFill>
              </fill>
            </x14:dxf>
          </x14:cfRule>
          <x14:cfRule type="expression" priority="4832" stopIfTrue="1" id="{9B4ACB93-8A5C-45BB-B3D4-3969B0A634E6}">
            <xm:f>AND(IF(AC164='Plan de Accion 2018'!BB139,AC164&lt;&gt;"N/A"))</xm:f>
            <x14:dxf>
              <fill>
                <patternFill>
                  <bgColor rgb="FF00B050"/>
                </patternFill>
              </fill>
            </x14:dxf>
          </x14:cfRule>
          <x14:cfRule type="expression" priority="4833" stopIfTrue="1" id="{1ED4C1D7-BA09-43C1-8B94-5AB7D5EE5FE3}">
            <xm:f>AND(IF(AC164&lt;'Plan de Accion 2018'!BB139,AC164&lt;&gt;"N/A"))</xm:f>
            <x14:dxf>
              <fill>
                <patternFill>
                  <bgColor indexed="10"/>
                </patternFill>
              </fill>
            </x14:dxf>
          </x14:cfRule>
          <xm:sqref>AC164</xm:sqref>
        </x14:conditionalFormatting>
        <x14:conditionalFormatting xmlns:xm="http://schemas.microsoft.com/office/excel/2006/main">
          <x14:cfRule type="expression" priority="4828" id="{2E284A69-B7BF-49BF-A941-5FD010AA5E02}">
            <xm:f>AND(IF(AC165&gt;'Plan de Accion 2018'!BB146,AC165&lt;&gt;¨N/A¨))</xm:f>
            <x14:dxf>
              <fill>
                <patternFill>
                  <bgColor theme="1" tint="0.499984740745262"/>
                </patternFill>
              </fill>
            </x14:dxf>
          </x14:cfRule>
          <x14:cfRule type="expression" priority="4829" stopIfTrue="1" id="{115E902F-2E27-4385-8A32-992FC00EC1A1}">
            <xm:f>AND(IF(AC165='Plan de Accion 2018'!BB146,AC165&lt;&gt;"N/A"))</xm:f>
            <x14:dxf>
              <fill>
                <patternFill>
                  <bgColor rgb="FF00B050"/>
                </patternFill>
              </fill>
            </x14:dxf>
          </x14:cfRule>
          <x14:cfRule type="expression" priority="4830" stopIfTrue="1" id="{0BE7342E-6A32-49AC-BE43-56C38193D1E5}">
            <xm:f>AND(IF(AC165&lt;'Plan de Accion 2018'!BB146,AC165&lt;&gt;"N/A"))</xm:f>
            <x14:dxf>
              <fill>
                <patternFill>
                  <bgColor indexed="10"/>
                </patternFill>
              </fill>
            </x14:dxf>
          </x14:cfRule>
          <xm:sqref>AC165</xm:sqref>
        </x14:conditionalFormatting>
        <x14:conditionalFormatting xmlns:xm="http://schemas.microsoft.com/office/excel/2006/main">
          <x14:cfRule type="expression" priority="4825" id="{C8BC9AD3-5E42-4012-9028-A686F27317F4}">
            <xm:f>AND(IF(AC166&gt;'Plan de Accion 2018'!BB148,AC166&lt;&gt;¨N/A¨))</xm:f>
            <x14:dxf>
              <fill>
                <patternFill>
                  <bgColor theme="1" tint="0.499984740745262"/>
                </patternFill>
              </fill>
            </x14:dxf>
          </x14:cfRule>
          <x14:cfRule type="expression" priority="4826" stopIfTrue="1" id="{38851E1B-BFFB-4141-91E6-687AC0D491F1}">
            <xm:f>AND(IF(AC166='Plan de Accion 2018'!BB148,AC166&lt;&gt;"N/A"))</xm:f>
            <x14:dxf>
              <fill>
                <patternFill>
                  <bgColor rgb="FF00B050"/>
                </patternFill>
              </fill>
            </x14:dxf>
          </x14:cfRule>
          <x14:cfRule type="expression" priority="4827" stopIfTrue="1" id="{9DB65B02-FB47-41DA-A360-4E11A5FB8964}">
            <xm:f>AND(IF(AC166&lt;'Plan de Accion 2018'!BB148,AC166&lt;&gt;"N/A"))</xm:f>
            <x14:dxf>
              <fill>
                <patternFill>
                  <bgColor indexed="10"/>
                </patternFill>
              </fill>
            </x14:dxf>
          </x14:cfRule>
          <xm:sqref>AC166</xm:sqref>
        </x14:conditionalFormatting>
        <x14:conditionalFormatting xmlns:xm="http://schemas.microsoft.com/office/excel/2006/main">
          <x14:cfRule type="expression" priority="4822" id="{49BB48CC-46AC-43D9-877F-4DA8A37DA981}">
            <xm:f>AND(IF(AC168&gt;'Plan de Accion 2018'!BB8,AC168&lt;&gt;¨N/A¨))</xm:f>
            <x14:dxf>
              <fill>
                <patternFill>
                  <bgColor theme="1" tint="0.499984740745262"/>
                </patternFill>
              </fill>
            </x14:dxf>
          </x14:cfRule>
          <x14:cfRule type="expression" priority="4823" stopIfTrue="1" id="{BBD14FE5-BA40-47EA-82B7-65F92BA2EB32}">
            <xm:f>AND(IF(AC168='Plan de Accion 2018'!BB8,AC168&lt;&gt;"N/A"))</xm:f>
            <x14:dxf>
              <fill>
                <patternFill>
                  <bgColor rgb="FF00B050"/>
                </patternFill>
              </fill>
            </x14:dxf>
          </x14:cfRule>
          <x14:cfRule type="expression" priority="4824" stopIfTrue="1" id="{420C83B9-915A-4B10-9382-90035496C395}">
            <xm:f>AND(IF(AC168&lt;'Plan de Accion 2018'!BB8,AC168&lt;&gt;"N/A"))</xm:f>
            <x14:dxf>
              <fill>
                <patternFill>
                  <bgColor indexed="10"/>
                </patternFill>
              </fill>
            </x14:dxf>
          </x14:cfRule>
          <xm:sqref>AC168</xm:sqref>
        </x14:conditionalFormatting>
        <x14:conditionalFormatting xmlns:xm="http://schemas.microsoft.com/office/excel/2006/main">
          <x14:cfRule type="expression" priority="4819" id="{594D6FCC-334B-414C-9DC5-322CE45D1313}">
            <xm:f>AND(IF(AC169&gt;'Plan de Accion 2018'!BB12,AC169&lt;&gt;¨N/A¨))</xm:f>
            <x14:dxf>
              <fill>
                <patternFill>
                  <bgColor theme="1" tint="0.499984740745262"/>
                </patternFill>
              </fill>
            </x14:dxf>
          </x14:cfRule>
          <x14:cfRule type="expression" priority="4820" stopIfTrue="1" id="{186BA1D0-72C5-44CE-94E1-CB766E1A2C1A}">
            <xm:f>AND(IF(AC169='Plan de Accion 2018'!BB12,AC169&lt;&gt;"N/A"))</xm:f>
            <x14:dxf>
              <fill>
                <patternFill>
                  <bgColor rgb="FF00B050"/>
                </patternFill>
              </fill>
            </x14:dxf>
          </x14:cfRule>
          <x14:cfRule type="expression" priority="4821" stopIfTrue="1" id="{2273D7AA-DDC5-48BE-ACEC-27C8A8012A6D}">
            <xm:f>AND(IF(AC169&lt;'Plan de Accion 2018'!BB12,AC169&lt;&gt;"N/A"))</xm:f>
            <x14:dxf>
              <fill>
                <patternFill>
                  <bgColor indexed="10"/>
                </patternFill>
              </fill>
            </x14:dxf>
          </x14:cfRule>
          <xm:sqref>AC169</xm:sqref>
        </x14:conditionalFormatting>
        <x14:conditionalFormatting xmlns:xm="http://schemas.microsoft.com/office/excel/2006/main">
          <x14:cfRule type="expression" priority="4816" id="{DD01C612-E410-4B92-B07F-A0B814644322}">
            <xm:f>AND(IF(AC170&gt;'Plan de Accion 2018'!BB45,AC170&lt;&gt;¨N/A¨))</xm:f>
            <x14:dxf>
              <fill>
                <patternFill>
                  <bgColor theme="1" tint="0.499984740745262"/>
                </patternFill>
              </fill>
            </x14:dxf>
          </x14:cfRule>
          <x14:cfRule type="expression" priority="4817" stopIfTrue="1" id="{FED7A9C4-1396-48CD-9E33-4E4182380692}">
            <xm:f>AND(IF(AC170='Plan de Accion 2018'!BB45,AC170&lt;&gt;"N/A"))</xm:f>
            <x14:dxf>
              <fill>
                <patternFill>
                  <bgColor rgb="FF00B050"/>
                </patternFill>
              </fill>
            </x14:dxf>
          </x14:cfRule>
          <x14:cfRule type="expression" priority="4818" stopIfTrue="1" id="{D4EE01C8-25FB-4155-9CFA-7F461DBBC86F}">
            <xm:f>AND(IF(AC170&lt;'Plan de Accion 2018'!BB45,AC170&lt;&gt;"N/A"))</xm:f>
            <x14:dxf>
              <fill>
                <patternFill>
                  <bgColor indexed="10"/>
                </patternFill>
              </fill>
            </x14:dxf>
          </x14:cfRule>
          <xm:sqref>AC170 AC208:AC209</xm:sqref>
        </x14:conditionalFormatting>
        <x14:conditionalFormatting xmlns:xm="http://schemas.microsoft.com/office/excel/2006/main">
          <x14:cfRule type="expression" priority="4813" id="{AE741588-269F-492F-BC96-7B6018A3FD30}">
            <xm:f>AND(IF(AC171&gt;'Plan de Accion 2018'!BB64,AC171&lt;&gt;¨N/A¨))</xm:f>
            <x14:dxf>
              <fill>
                <patternFill>
                  <bgColor theme="1" tint="0.499984740745262"/>
                </patternFill>
              </fill>
            </x14:dxf>
          </x14:cfRule>
          <x14:cfRule type="expression" priority="4814" stopIfTrue="1" id="{4394C028-0DEE-4E4C-9BB6-53BC56D7E3A0}">
            <xm:f>AND(IF(AC171='Plan de Accion 2018'!BB64,AC171&lt;&gt;"N/A"))</xm:f>
            <x14:dxf>
              <fill>
                <patternFill>
                  <bgColor rgb="FF00B050"/>
                </patternFill>
              </fill>
            </x14:dxf>
          </x14:cfRule>
          <x14:cfRule type="expression" priority="4815" stopIfTrue="1" id="{8C73DCC2-7536-480F-A917-A4B6AD64037D}">
            <xm:f>AND(IF(AC171&lt;'Plan de Accion 2018'!BB64,AC171&lt;&gt;"N/A"))</xm:f>
            <x14:dxf>
              <fill>
                <patternFill>
                  <bgColor indexed="10"/>
                </patternFill>
              </fill>
            </x14:dxf>
          </x14:cfRule>
          <xm:sqref>AC171</xm:sqref>
        </x14:conditionalFormatting>
        <x14:conditionalFormatting xmlns:xm="http://schemas.microsoft.com/office/excel/2006/main">
          <x14:cfRule type="expression" priority="4810" id="{43F9CA74-1080-41F6-B897-6CB393E10884}">
            <xm:f>AND(IF(AC172&gt;'Plan de Accion 2018'!BB76,AC172&lt;&gt;¨N/A¨))</xm:f>
            <x14:dxf>
              <fill>
                <patternFill>
                  <bgColor theme="1" tint="0.499984740745262"/>
                </patternFill>
              </fill>
            </x14:dxf>
          </x14:cfRule>
          <x14:cfRule type="expression" priority="4811" stopIfTrue="1" id="{5177258B-C3B3-49BA-95AE-E88BDEAF1043}">
            <xm:f>AND(IF(AC172='Plan de Accion 2018'!BB76,AC172&lt;&gt;"N/A"))</xm:f>
            <x14:dxf>
              <fill>
                <patternFill>
                  <bgColor rgb="FF00B050"/>
                </patternFill>
              </fill>
            </x14:dxf>
          </x14:cfRule>
          <x14:cfRule type="expression" priority="4812" stopIfTrue="1" id="{2DC7CE2C-5FC3-448C-A250-0065D10A8B00}">
            <xm:f>AND(IF(AC172&lt;'Plan de Accion 2018'!BB76,AC172&lt;&gt;"N/A"))</xm:f>
            <x14:dxf>
              <fill>
                <patternFill>
                  <bgColor indexed="10"/>
                </patternFill>
              </fill>
            </x14:dxf>
          </x14:cfRule>
          <xm:sqref>AC172</xm:sqref>
        </x14:conditionalFormatting>
        <x14:conditionalFormatting xmlns:xm="http://schemas.microsoft.com/office/excel/2006/main">
          <x14:cfRule type="expression" priority="4807" id="{9904E9B9-4E73-411F-B272-C9899766C1BD}">
            <xm:f>AND(IF(AC173&gt;'Plan de Accion 2018'!BB89,AC173&lt;&gt;¨N/A¨))</xm:f>
            <x14:dxf>
              <fill>
                <patternFill>
                  <bgColor theme="1" tint="0.499984740745262"/>
                </patternFill>
              </fill>
            </x14:dxf>
          </x14:cfRule>
          <x14:cfRule type="expression" priority="4808" stopIfTrue="1" id="{F8BF505B-3C88-4379-A6F1-BD68D646EFC1}">
            <xm:f>AND(IF(AC173='Plan de Accion 2018'!BB89,AC173&lt;&gt;"N/A"))</xm:f>
            <x14:dxf>
              <fill>
                <patternFill>
                  <bgColor rgb="FF00B050"/>
                </patternFill>
              </fill>
            </x14:dxf>
          </x14:cfRule>
          <x14:cfRule type="expression" priority="4809" stopIfTrue="1" id="{B2EBD67D-6564-4A26-B2C5-1BC96A868576}">
            <xm:f>AND(IF(AC173&lt;'Plan de Accion 2018'!BB89,AC173&lt;&gt;"N/A"))</xm:f>
            <x14:dxf>
              <fill>
                <patternFill>
                  <bgColor indexed="10"/>
                </patternFill>
              </fill>
            </x14:dxf>
          </x14:cfRule>
          <xm:sqref>AC173</xm:sqref>
        </x14:conditionalFormatting>
        <x14:conditionalFormatting xmlns:xm="http://schemas.microsoft.com/office/excel/2006/main">
          <x14:cfRule type="expression" priority="4804" id="{B7BFF239-E33D-4118-A834-DF22EF33402C}">
            <xm:f>AND(IF(AC217&gt;'Plan de Accion 2018'!BB154,AC217&lt;&gt;¨N/A¨))</xm:f>
            <x14:dxf>
              <fill>
                <patternFill>
                  <bgColor theme="1" tint="0.499984740745262"/>
                </patternFill>
              </fill>
            </x14:dxf>
          </x14:cfRule>
          <x14:cfRule type="expression" priority="4805" stopIfTrue="1" id="{03A8B7B2-6348-43C6-9B2D-64B57D795C84}">
            <xm:f>AND(IF(AC217='Plan de Accion 2018'!BB154,AC217&lt;&gt;"N/A"))</xm:f>
            <x14:dxf>
              <fill>
                <patternFill>
                  <bgColor rgb="FF00B050"/>
                </patternFill>
              </fill>
            </x14:dxf>
          </x14:cfRule>
          <x14:cfRule type="expression" priority="4806" stopIfTrue="1" id="{F61726E2-2D36-41F9-84D0-F2F96F885312}">
            <xm:f>AND(IF(AC217&lt;'Plan de Accion 2018'!BB154,AC217&lt;&gt;"N/A"))</xm:f>
            <x14:dxf>
              <fill>
                <patternFill>
                  <bgColor indexed="10"/>
                </patternFill>
              </fill>
            </x14:dxf>
          </x14:cfRule>
          <xm:sqref>AC217</xm:sqref>
        </x14:conditionalFormatting>
        <x14:conditionalFormatting xmlns:xm="http://schemas.microsoft.com/office/excel/2006/main">
          <x14:cfRule type="expression" priority="4795" id="{95801731-701E-4E5B-9A17-163A89DAA4BC}">
            <xm:f>AND(IF(AC179&gt;'Plan de Accion 2018'!BB13,AC179&lt;&gt;¨N/A¨))</xm:f>
            <x14:dxf>
              <fill>
                <patternFill>
                  <bgColor theme="1" tint="0.499984740745262"/>
                </patternFill>
              </fill>
            </x14:dxf>
          </x14:cfRule>
          <x14:cfRule type="expression" priority="4796" stopIfTrue="1" id="{23D81355-5ECA-48E3-8200-074423CEF04F}">
            <xm:f>AND(IF(AC179='Plan de Accion 2018'!BB13,AC179&lt;&gt;"N/A"))</xm:f>
            <x14:dxf>
              <fill>
                <patternFill>
                  <bgColor rgb="FF00B050"/>
                </patternFill>
              </fill>
            </x14:dxf>
          </x14:cfRule>
          <x14:cfRule type="expression" priority="4797" stopIfTrue="1" id="{F30A8F8D-97F9-42B0-9025-2442C1790EEC}">
            <xm:f>AND(IF(AC179&lt;'Plan de Accion 2018'!BB13,AC179&lt;&gt;"N/A"))</xm:f>
            <x14:dxf>
              <fill>
                <patternFill>
                  <bgColor indexed="10"/>
                </patternFill>
              </fill>
            </x14:dxf>
          </x14:cfRule>
          <xm:sqref>AC179:AC180</xm:sqref>
        </x14:conditionalFormatting>
        <x14:conditionalFormatting xmlns:xm="http://schemas.microsoft.com/office/excel/2006/main">
          <x14:cfRule type="expression" priority="4789" id="{02DEE281-A041-4168-B0A4-49DADD47B6FF}">
            <xm:f>AND(IF(AC181&gt;'Plan de Accion 2018'!BB46,AC181&lt;&gt;¨N/A¨))</xm:f>
            <x14:dxf>
              <fill>
                <patternFill>
                  <bgColor theme="1" tint="0.499984740745262"/>
                </patternFill>
              </fill>
            </x14:dxf>
          </x14:cfRule>
          <x14:cfRule type="expression" priority="4790" stopIfTrue="1" id="{D1ED27DF-09D8-45CF-BDFF-213142DA3979}">
            <xm:f>AND(IF(AC181='Plan de Accion 2018'!BB46,AC181&lt;&gt;"N/A"))</xm:f>
            <x14:dxf>
              <fill>
                <patternFill>
                  <bgColor rgb="FF00B050"/>
                </patternFill>
              </fill>
            </x14:dxf>
          </x14:cfRule>
          <x14:cfRule type="expression" priority="4791" stopIfTrue="1" id="{8FBCFD5A-825F-43DF-BFD7-1CE0907D8681}">
            <xm:f>AND(IF(AC181&lt;'Plan de Accion 2018'!BB46,AC181&lt;&gt;"N/A"))</xm:f>
            <x14:dxf>
              <fill>
                <patternFill>
                  <bgColor indexed="10"/>
                </patternFill>
              </fill>
            </x14:dxf>
          </x14:cfRule>
          <xm:sqref>AC181:AC182</xm:sqref>
        </x14:conditionalFormatting>
        <x14:conditionalFormatting xmlns:xm="http://schemas.microsoft.com/office/excel/2006/main">
          <x14:cfRule type="expression" priority="4783" id="{2E070972-39CB-44CC-95E1-8B947D2CD059}">
            <xm:f>AND(IF(AC183&gt;'Plan de Accion 2018'!BB65,AC183&lt;&gt;¨N/A¨))</xm:f>
            <x14:dxf>
              <fill>
                <patternFill>
                  <bgColor theme="1" tint="0.499984740745262"/>
                </patternFill>
              </fill>
            </x14:dxf>
          </x14:cfRule>
          <x14:cfRule type="expression" priority="4784" stopIfTrue="1" id="{32FA7C18-CEFB-4952-A000-4EECDC9DDF97}">
            <xm:f>AND(IF(AC183='Plan de Accion 2018'!BB65,AC183&lt;&gt;"N/A"))</xm:f>
            <x14:dxf>
              <fill>
                <patternFill>
                  <bgColor rgb="FF00B050"/>
                </patternFill>
              </fill>
            </x14:dxf>
          </x14:cfRule>
          <x14:cfRule type="expression" priority="4785" stopIfTrue="1" id="{27BCD963-9FBC-436C-9CC9-2DCA2C21E174}">
            <xm:f>AND(IF(AC183&lt;'Plan de Accion 2018'!BB65,AC183&lt;&gt;"N/A"))</xm:f>
            <x14:dxf>
              <fill>
                <patternFill>
                  <bgColor indexed="10"/>
                </patternFill>
              </fill>
            </x14:dxf>
          </x14:cfRule>
          <xm:sqref>AC183:AC184</xm:sqref>
        </x14:conditionalFormatting>
        <x14:conditionalFormatting xmlns:xm="http://schemas.microsoft.com/office/excel/2006/main">
          <x14:cfRule type="expression" priority="4771" id="{E5E16DFC-C987-4084-95F0-4EA28170F9FA}">
            <xm:f>AND(IF(AC187&gt;'Plan de Accion 2018'!BB90,AC187&lt;&gt;¨N/A¨))</xm:f>
            <x14:dxf>
              <fill>
                <patternFill>
                  <bgColor theme="1" tint="0.499984740745262"/>
                </patternFill>
              </fill>
            </x14:dxf>
          </x14:cfRule>
          <x14:cfRule type="expression" priority="4772" stopIfTrue="1" id="{A0735488-8403-4201-9DB5-90FEDFF35F82}">
            <xm:f>AND(IF(AC187='Plan de Accion 2018'!BB90,AC187&lt;&gt;"N/A"))</xm:f>
            <x14:dxf>
              <fill>
                <patternFill>
                  <bgColor rgb="FF00B050"/>
                </patternFill>
              </fill>
            </x14:dxf>
          </x14:cfRule>
          <x14:cfRule type="expression" priority="4773" stopIfTrue="1" id="{82C329F4-AD04-4907-B2D4-9FF402C33068}">
            <xm:f>AND(IF(AC187&lt;'Plan de Accion 2018'!BB90,AC187&lt;&gt;"N/A"))</xm:f>
            <x14:dxf>
              <fill>
                <patternFill>
                  <bgColor indexed="10"/>
                </patternFill>
              </fill>
            </x14:dxf>
          </x14:cfRule>
          <xm:sqref>AC187:AC188</xm:sqref>
        </x14:conditionalFormatting>
        <x14:conditionalFormatting xmlns:xm="http://schemas.microsoft.com/office/excel/2006/main">
          <x14:cfRule type="expression" priority="4765" id="{680D9657-8D51-4B29-B05F-FA00B6301E5F}">
            <xm:f>AND(IF(AC189&gt;'Plan de Accion 2018'!BB99,AC189&lt;&gt;¨N/A¨))</xm:f>
            <x14:dxf>
              <fill>
                <patternFill>
                  <bgColor theme="1" tint="0.499984740745262"/>
                </patternFill>
              </fill>
            </x14:dxf>
          </x14:cfRule>
          <x14:cfRule type="expression" priority="4766" stopIfTrue="1" id="{8A2BB02E-5C97-48F8-9000-B01E4F557578}">
            <xm:f>AND(IF(AC189='Plan de Accion 2018'!BB99,AC189&lt;&gt;"N/A"))</xm:f>
            <x14:dxf>
              <fill>
                <patternFill>
                  <bgColor rgb="FF00B050"/>
                </patternFill>
              </fill>
            </x14:dxf>
          </x14:cfRule>
          <x14:cfRule type="expression" priority="4767" stopIfTrue="1" id="{C1442491-D355-44B7-A35D-1C2131166F64}">
            <xm:f>AND(IF(AC189&lt;'Plan de Accion 2018'!BB99,AC189&lt;&gt;"N/A"))</xm:f>
            <x14:dxf>
              <fill>
                <patternFill>
                  <bgColor indexed="10"/>
                </patternFill>
              </fill>
            </x14:dxf>
          </x14:cfRule>
          <xm:sqref>AC189:AC190</xm:sqref>
        </x14:conditionalFormatting>
        <x14:conditionalFormatting xmlns:xm="http://schemas.microsoft.com/office/excel/2006/main">
          <x14:cfRule type="expression" priority="4759" id="{3888F89E-6EF9-4536-9DA7-9C2E6458F978}">
            <xm:f>AND(IF(AC191&gt;'Plan de Accion 2018'!BB104,AC191&lt;&gt;¨N/A¨))</xm:f>
            <x14:dxf>
              <fill>
                <patternFill>
                  <bgColor theme="1" tint="0.499984740745262"/>
                </patternFill>
              </fill>
            </x14:dxf>
          </x14:cfRule>
          <x14:cfRule type="expression" priority="4760" stopIfTrue="1" id="{0C771F0F-8A73-47E0-BBF8-F8C87133940F}">
            <xm:f>AND(IF(AC191='Plan de Accion 2018'!BB104,AC191&lt;&gt;"N/A"))</xm:f>
            <x14:dxf>
              <fill>
                <patternFill>
                  <bgColor rgb="FF00B050"/>
                </patternFill>
              </fill>
            </x14:dxf>
          </x14:cfRule>
          <x14:cfRule type="expression" priority="4761" stopIfTrue="1" id="{EAEAF252-5FE2-4257-94F0-890A579D30E1}">
            <xm:f>AND(IF(AC191&lt;'Plan de Accion 2018'!BB104,AC191&lt;&gt;"N/A"))</xm:f>
            <x14:dxf>
              <fill>
                <patternFill>
                  <bgColor indexed="10"/>
                </patternFill>
              </fill>
            </x14:dxf>
          </x14:cfRule>
          <xm:sqref>AC191</xm:sqref>
        </x14:conditionalFormatting>
        <x14:conditionalFormatting xmlns:xm="http://schemas.microsoft.com/office/excel/2006/main">
          <x14:cfRule type="expression" priority="4756" id="{B20AF367-92E3-42E3-83BF-FB583F6C74A2}">
            <xm:f>AND(IF(AC192&gt;'Plan de Accion 2018'!BB110,AC192&lt;&gt;¨N/A¨))</xm:f>
            <x14:dxf>
              <fill>
                <patternFill>
                  <bgColor theme="1" tint="0.499984740745262"/>
                </patternFill>
              </fill>
            </x14:dxf>
          </x14:cfRule>
          <x14:cfRule type="expression" priority="4757" stopIfTrue="1" id="{18D37A8A-1036-4B5C-A3C6-86D47C770531}">
            <xm:f>AND(IF(AC192='Plan de Accion 2018'!BB110,AC192&lt;&gt;"N/A"))</xm:f>
            <x14:dxf>
              <fill>
                <patternFill>
                  <bgColor rgb="FF00B050"/>
                </patternFill>
              </fill>
            </x14:dxf>
          </x14:cfRule>
          <x14:cfRule type="expression" priority="4758" stopIfTrue="1" id="{8EF048D6-5E95-4E2A-A794-0AE57BFF4D23}">
            <xm:f>AND(IF(AC192&lt;'Plan de Accion 2018'!BB110,AC192&lt;&gt;"N/A"))</xm:f>
            <x14:dxf>
              <fill>
                <patternFill>
                  <bgColor indexed="10"/>
                </patternFill>
              </fill>
            </x14:dxf>
          </x14:cfRule>
          <xm:sqref>AC192:AC195</xm:sqref>
        </x14:conditionalFormatting>
        <x14:conditionalFormatting xmlns:xm="http://schemas.microsoft.com/office/excel/2006/main">
          <x14:cfRule type="expression" priority="4750" id="{80380232-C8A4-427E-9A35-F6E9428B6E13}">
            <xm:f>AND(IF(AC196&gt;'Plan de Accion 2018'!BB115,AC196&lt;&gt;¨N/A¨))</xm:f>
            <x14:dxf>
              <fill>
                <patternFill>
                  <bgColor theme="1" tint="0.499984740745262"/>
                </patternFill>
              </fill>
            </x14:dxf>
          </x14:cfRule>
          <x14:cfRule type="expression" priority="4751" stopIfTrue="1" id="{A988F7ED-3386-4188-86D4-93A8B26A0C3C}">
            <xm:f>AND(IF(AC196='Plan de Accion 2018'!BB115,AC196&lt;&gt;"N/A"))</xm:f>
            <x14:dxf>
              <fill>
                <patternFill>
                  <bgColor rgb="FF00B050"/>
                </patternFill>
              </fill>
            </x14:dxf>
          </x14:cfRule>
          <x14:cfRule type="expression" priority="4752" stopIfTrue="1" id="{ACB798F1-11FA-4402-B5AA-13AED5405F10}">
            <xm:f>AND(IF(AC196&lt;'Plan de Accion 2018'!BB115,AC196&lt;&gt;"N/A"))</xm:f>
            <x14:dxf>
              <fill>
                <patternFill>
                  <bgColor indexed="10"/>
                </patternFill>
              </fill>
            </x14:dxf>
          </x14:cfRule>
          <xm:sqref>AC196:AC199</xm:sqref>
        </x14:conditionalFormatting>
        <x14:conditionalFormatting xmlns:xm="http://schemas.microsoft.com/office/excel/2006/main">
          <x14:cfRule type="expression" priority="4729" id="{A72D5165-989D-40E4-B287-2A7795ADBA9C}">
            <xm:f>AND(IF(AC204&gt;'Plan de Accion 2018'!BB63,AC204&lt;&gt;¨N/A¨))</xm:f>
            <x14:dxf>
              <fill>
                <patternFill>
                  <bgColor theme="1" tint="0.499984740745262"/>
                </patternFill>
              </fill>
            </x14:dxf>
          </x14:cfRule>
          <x14:cfRule type="expression" priority="4730" stopIfTrue="1" id="{1414CD0C-EFE3-47DC-842F-C5628CC3D80C}">
            <xm:f>AND(IF(AC204='Plan de Accion 2018'!BB63,AC204&lt;&gt;"N/A"))</xm:f>
            <x14:dxf>
              <fill>
                <patternFill>
                  <bgColor rgb="FF00B050"/>
                </patternFill>
              </fill>
            </x14:dxf>
          </x14:cfRule>
          <x14:cfRule type="expression" priority="4731" stopIfTrue="1" id="{2A2598E8-976D-4C8D-8792-D458701C09B2}">
            <xm:f>AND(IF(AC204&lt;'Plan de Accion 2018'!BB63,AC204&lt;&gt;"N/A"))</xm:f>
            <x14:dxf>
              <fill>
                <patternFill>
                  <bgColor indexed="10"/>
                </patternFill>
              </fill>
            </x14:dxf>
          </x14:cfRule>
          <xm:sqref>AC204</xm:sqref>
        </x14:conditionalFormatting>
        <x14:conditionalFormatting xmlns:xm="http://schemas.microsoft.com/office/excel/2006/main">
          <x14:cfRule type="expression" priority="4726" id="{715CD46F-DE7D-43C3-A129-D95596F18222}">
            <xm:f>AND(IF(AC205&gt;'Plan de Accion 2018'!BB71,AC205&lt;&gt;¨N/A¨))</xm:f>
            <x14:dxf>
              <fill>
                <patternFill>
                  <bgColor theme="1" tint="0.499984740745262"/>
                </patternFill>
              </fill>
            </x14:dxf>
          </x14:cfRule>
          <x14:cfRule type="expression" priority="4727" stopIfTrue="1" id="{DC693BE1-05D5-44F2-9B18-E4DC1F860AB3}">
            <xm:f>AND(IF(AC205='Plan de Accion 2018'!BB71,AC205&lt;&gt;"N/A"))</xm:f>
            <x14:dxf>
              <fill>
                <patternFill>
                  <bgColor rgb="FF00B050"/>
                </patternFill>
              </fill>
            </x14:dxf>
          </x14:cfRule>
          <x14:cfRule type="expression" priority="4728" stopIfTrue="1" id="{68352272-291D-45D4-B5B0-EBC96622313F}">
            <xm:f>AND(IF(AC205&lt;'Plan de Accion 2018'!BB71,AC205&lt;&gt;"N/A"))</xm:f>
            <x14:dxf>
              <fill>
                <patternFill>
                  <bgColor indexed="10"/>
                </patternFill>
              </fill>
            </x14:dxf>
          </x14:cfRule>
          <xm:sqref>AC205</xm:sqref>
        </x14:conditionalFormatting>
        <x14:conditionalFormatting xmlns:xm="http://schemas.microsoft.com/office/excel/2006/main">
          <x14:cfRule type="expression" priority="4723" id="{AAC8D36C-BA90-423A-A2AD-3503276963D7}">
            <xm:f>AND(IF(AC207&gt;'Plan de Accion 2018'!BB79,AC207&lt;&gt;¨N/A¨))</xm:f>
            <x14:dxf>
              <fill>
                <patternFill>
                  <bgColor theme="1" tint="0.499984740745262"/>
                </patternFill>
              </fill>
            </x14:dxf>
          </x14:cfRule>
          <x14:cfRule type="expression" priority="4724" stopIfTrue="1" id="{E15F97A6-00C6-4D91-8EB7-F3BBD5B6AF90}">
            <xm:f>AND(IF(AC207='Plan de Accion 2018'!BB79,AC207&lt;&gt;"N/A"))</xm:f>
            <x14:dxf>
              <fill>
                <patternFill>
                  <bgColor rgb="FF00B050"/>
                </patternFill>
              </fill>
            </x14:dxf>
          </x14:cfRule>
          <x14:cfRule type="expression" priority="4725" stopIfTrue="1" id="{59D5E5EC-6801-4B5E-955E-14384DDE5A5E}">
            <xm:f>AND(IF(AC207&lt;'Plan de Accion 2018'!BB79,AC207&lt;&gt;"N/A"))</xm:f>
            <x14:dxf>
              <fill>
                <patternFill>
                  <bgColor indexed="10"/>
                </patternFill>
              </fill>
            </x14:dxf>
          </x14:cfRule>
          <xm:sqref>AC207</xm:sqref>
        </x14:conditionalFormatting>
        <x14:conditionalFormatting xmlns:xm="http://schemas.microsoft.com/office/excel/2006/main">
          <x14:cfRule type="expression" priority="4714" id="{B7AFD7F0-448D-4720-8DF3-3B5AB8B6E2A4}">
            <xm:f>AND(IF(AC211&gt;'Plan de Accion 2018'!BB73,AC211&lt;&gt;¨N/A¨))</xm:f>
            <x14:dxf>
              <fill>
                <patternFill>
                  <bgColor theme="1" tint="0.499984740745262"/>
                </patternFill>
              </fill>
            </x14:dxf>
          </x14:cfRule>
          <x14:cfRule type="expression" priority="4715" stopIfTrue="1" id="{9ED02E3F-296D-4D21-A54F-F11E450F16EB}">
            <xm:f>AND(IF(AC211='Plan de Accion 2018'!BB73,AC211&lt;&gt;"N/A"))</xm:f>
            <x14:dxf>
              <fill>
                <patternFill>
                  <bgColor rgb="FF00B050"/>
                </patternFill>
              </fill>
            </x14:dxf>
          </x14:cfRule>
          <x14:cfRule type="expression" priority="4716" stopIfTrue="1" id="{D48301F8-2F75-451C-A9EA-BF25050AC88D}">
            <xm:f>AND(IF(AC211&lt;'Plan de Accion 2018'!BB73,AC211&lt;&gt;"N/A"))</xm:f>
            <x14:dxf>
              <fill>
                <patternFill>
                  <bgColor indexed="10"/>
                </patternFill>
              </fill>
            </x14:dxf>
          </x14:cfRule>
          <xm:sqref>AC211</xm:sqref>
        </x14:conditionalFormatting>
        <x14:conditionalFormatting xmlns:xm="http://schemas.microsoft.com/office/excel/2006/main">
          <x14:cfRule type="expression" priority="4711" id="{8878B884-9F2D-47CE-AA3C-85099B75AA22}">
            <xm:f>AND(IF(AC212&gt;'Plan de Accion 2018'!BB129,AC212&lt;&gt;¨N/A¨))</xm:f>
            <x14:dxf>
              <fill>
                <patternFill>
                  <bgColor theme="1" tint="0.499984740745262"/>
                </patternFill>
              </fill>
            </x14:dxf>
          </x14:cfRule>
          <x14:cfRule type="expression" priority="4712" stopIfTrue="1" id="{CDFA8F20-5993-48AF-9168-F4ACAC0848CB}">
            <xm:f>AND(IF(AC212='Plan de Accion 2018'!BB129,AC212&lt;&gt;"N/A"))</xm:f>
            <x14:dxf>
              <fill>
                <patternFill>
                  <bgColor rgb="FF00B050"/>
                </patternFill>
              </fill>
            </x14:dxf>
          </x14:cfRule>
          <x14:cfRule type="expression" priority="4713" stopIfTrue="1" id="{125F7D51-6574-40F5-8AFE-C7FE813D70B6}">
            <xm:f>AND(IF(AC212&lt;'Plan de Accion 2018'!BB129,AC212&lt;&gt;"N/A"))</xm:f>
            <x14:dxf>
              <fill>
                <patternFill>
                  <bgColor indexed="10"/>
                </patternFill>
              </fill>
            </x14:dxf>
          </x14:cfRule>
          <xm:sqref>AC212:AC214</xm:sqref>
        </x14:conditionalFormatting>
        <x14:conditionalFormatting xmlns:xm="http://schemas.microsoft.com/office/excel/2006/main">
          <x14:cfRule type="expression" priority="4696" id="{F96CD83D-B11A-4BA6-AA2A-C9271C8A2E34}">
            <xm:f>AND(IF(AC220&gt;'Plan de Accion 2018'!BB101,AC220&lt;&gt;¨N/A¨))</xm:f>
            <x14:dxf>
              <fill>
                <patternFill>
                  <bgColor theme="1" tint="0.499984740745262"/>
                </patternFill>
              </fill>
            </x14:dxf>
          </x14:cfRule>
          <x14:cfRule type="expression" priority="4697" stopIfTrue="1" id="{4E42AA51-BD61-4E96-BEB4-BA31B5937076}">
            <xm:f>AND(IF(AC220='Plan de Accion 2018'!BB101,AC220&lt;&gt;"N/A"))</xm:f>
            <x14:dxf>
              <fill>
                <patternFill>
                  <bgColor rgb="FF00B050"/>
                </patternFill>
              </fill>
            </x14:dxf>
          </x14:cfRule>
          <x14:cfRule type="expression" priority="4698" stopIfTrue="1" id="{C5BA4D25-DB62-4BA4-9E5E-44906DBA3A7F}">
            <xm:f>AND(IF(AC220&lt;'Plan de Accion 2018'!BB101,AC220&lt;&gt;"N/A"))</xm:f>
            <x14:dxf>
              <fill>
                <patternFill>
                  <bgColor indexed="10"/>
                </patternFill>
              </fill>
            </x14:dxf>
          </x14:cfRule>
          <xm:sqref>AC220:AC221</xm:sqref>
        </x14:conditionalFormatting>
        <x14:conditionalFormatting xmlns:xm="http://schemas.microsoft.com/office/excel/2006/main">
          <x14:cfRule type="expression" priority="4690" id="{50FBCB88-C3BC-4E4F-919B-AB649F5F2AD3}">
            <xm:f>AND(IF(AC222&gt;'Plan de Accion 2018'!BB121,AC222&lt;&gt;¨N/A¨))</xm:f>
            <x14:dxf>
              <fill>
                <patternFill>
                  <bgColor theme="1" tint="0.499984740745262"/>
                </patternFill>
              </fill>
            </x14:dxf>
          </x14:cfRule>
          <x14:cfRule type="expression" priority="4691" stopIfTrue="1" id="{082EDA2E-1BE4-469E-AE7F-FF93216EF2E1}">
            <xm:f>AND(IF(AC222='Plan de Accion 2018'!BB121,AC222&lt;&gt;"N/A"))</xm:f>
            <x14:dxf>
              <fill>
                <patternFill>
                  <bgColor rgb="FF00B050"/>
                </patternFill>
              </fill>
            </x14:dxf>
          </x14:cfRule>
          <x14:cfRule type="expression" priority="4692" stopIfTrue="1" id="{0C40AB3A-8804-477F-A7DD-F082EF3B3D26}">
            <xm:f>AND(IF(AC222&lt;'Plan de Accion 2018'!BB121,AC222&lt;&gt;"N/A"))</xm:f>
            <x14:dxf>
              <fill>
                <patternFill>
                  <bgColor indexed="10"/>
                </patternFill>
              </fill>
            </x14:dxf>
          </x14:cfRule>
          <xm:sqref>AC222</xm:sqref>
        </x14:conditionalFormatting>
        <x14:conditionalFormatting xmlns:xm="http://schemas.microsoft.com/office/excel/2006/main">
          <x14:cfRule type="expression" priority="23418" id="{C3D746FB-B067-43E2-8497-7D15459BC2FE}">
            <xm:f>AND(IF(H21&gt;'Plan de Accion 2018'!W111,I10&lt;&gt;¨N/A¨))</xm:f>
            <x14:dxf>
              <fill>
                <patternFill>
                  <bgColor theme="1" tint="0.499984740745262"/>
                </patternFill>
              </fill>
            </x14:dxf>
          </x14:cfRule>
          <x14:cfRule type="expression" priority="23419" stopIfTrue="1" id="{CB3369B6-CA2E-4962-B9C1-DFDA26016809}">
            <xm:f>AND(IF(H21='Plan de Accion 2018'!W111,H21&lt;&gt;"N/A"))</xm:f>
            <x14:dxf>
              <fill>
                <patternFill>
                  <bgColor rgb="FF00B050"/>
                </patternFill>
              </fill>
            </x14:dxf>
          </x14:cfRule>
          <x14:cfRule type="expression" priority="23420" stopIfTrue="1" id="{A6F0BF26-2AB9-41C6-9DF1-C2079361EB2F}">
            <xm:f>AND(IF(H21&lt;'Plan de Accion 2018'!W111,H21&lt;&gt;"N/A"))</xm:f>
            <x14:dxf>
              <fill>
                <patternFill>
                  <bgColor indexed="10"/>
                </patternFill>
              </fill>
            </x14:dxf>
          </x14:cfRule>
          <xm:sqref>H21</xm:sqref>
        </x14:conditionalFormatting>
        <x14:conditionalFormatting xmlns:xm="http://schemas.microsoft.com/office/excel/2006/main">
          <x14:cfRule type="expression" priority="26007" id="{3F097174-46F5-49A9-9A2F-56D977F79B80}">
            <xm:f>AND(IF(H201&gt;'Plan de Accion 2018'!X123,H201&lt;&gt;¨N/A¨))</xm:f>
            <x14:dxf>
              <fill>
                <patternFill>
                  <bgColor theme="1" tint="0.499984740745262"/>
                </patternFill>
              </fill>
            </x14:dxf>
          </x14:cfRule>
          <x14:cfRule type="expression" priority="26008" stopIfTrue="1" id="{6AB1EBAD-47AB-46EF-BFC9-023E4C249536}">
            <xm:f>AND(IF(H201='Plan de Accion 2018'!X123,H201&lt;&gt;"N/A"))</xm:f>
            <x14:dxf>
              <fill>
                <patternFill>
                  <bgColor rgb="FF00B050"/>
                </patternFill>
              </fill>
            </x14:dxf>
          </x14:cfRule>
          <x14:cfRule type="expression" priority="26009" stopIfTrue="1" id="{7537C9B6-6D2B-493F-A2DA-15B8B27AEF45}">
            <xm:f>AND(IF(H201&lt;'Plan de Accion 2018'!X123,H201&lt;&gt;"N/A"))</xm:f>
            <x14:dxf>
              <fill>
                <patternFill>
                  <bgColor indexed="10"/>
                </patternFill>
              </fill>
            </x14:dxf>
          </x14:cfRule>
          <xm:sqref>H201:H202</xm:sqref>
        </x14:conditionalFormatting>
        <x14:conditionalFormatting xmlns:xm="http://schemas.microsoft.com/office/excel/2006/main">
          <x14:cfRule type="expression" priority="26190" id="{7E161275-247C-4DB8-BD6A-E08C157FD714}">
            <xm:f>AND(IF(O201&gt;'Plan de Accion 2018'!AH123,O201&lt;&gt;¨N/A¨))</xm:f>
            <x14:dxf>
              <fill>
                <patternFill>
                  <bgColor theme="1" tint="0.499984740745262"/>
                </patternFill>
              </fill>
            </x14:dxf>
          </x14:cfRule>
          <x14:cfRule type="expression" priority="26191" stopIfTrue="1" id="{6A7F13AD-306E-4D00-A2CC-AA0F8C12D183}">
            <xm:f>AND(IF(O201='Plan de Accion 2018'!AH123,O201&lt;&gt;"N/A"))</xm:f>
            <x14:dxf>
              <fill>
                <patternFill>
                  <bgColor rgb="FF00B050"/>
                </patternFill>
              </fill>
            </x14:dxf>
          </x14:cfRule>
          <x14:cfRule type="expression" priority="26192" stopIfTrue="1" id="{4B452FC1-90BB-4624-A6F2-FE094EB34D6B}">
            <xm:f>AND(IF(O201&lt;'Plan de Accion 2018'!AH123,O201&lt;&gt;"N/A"))</xm:f>
            <x14:dxf>
              <fill>
                <patternFill>
                  <bgColor indexed="10"/>
                </patternFill>
              </fill>
            </x14:dxf>
          </x14:cfRule>
          <xm:sqref>O201:O202</xm:sqref>
        </x14:conditionalFormatting>
        <x14:conditionalFormatting xmlns:xm="http://schemas.microsoft.com/office/excel/2006/main">
          <x14:cfRule type="expression" priority="26412" id="{9301CE03-495E-4346-B2A2-D47C47ABBA3F}">
            <xm:f>AND(IF(V201&gt;'Plan de Accion 2018'!AR123,V201&lt;&gt;¨N/A¨))</xm:f>
            <x14:dxf>
              <fill>
                <patternFill>
                  <bgColor theme="1" tint="0.499984740745262"/>
                </patternFill>
              </fill>
            </x14:dxf>
          </x14:cfRule>
          <x14:cfRule type="expression" priority="26413" stopIfTrue="1" id="{6E156D7F-CDCD-4515-B780-1148A4AD17B3}">
            <xm:f>AND(IF(V201='Plan de Accion 2018'!AR123,V201&lt;&gt;"N/A"))</xm:f>
            <x14:dxf>
              <fill>
                <patternFill>
                  <bgColor rgb="FF00B050"/>
                </patternFill>
              </fill>
            </x14:dxf>
          </x14:cfRule>
          <x14:cfRule type="expression" priority="26414" stopIfTrue="1" id="{DBF53FE7-75D3-432E-92EB-3D31331EBA93}">
            <xm:f>AND(IF(V201&lt;'Plan de Accion 2018'!AR123,V201&lt;&gt;"N/A"))</xm:f>
            <x14:dxf>
              <fill>
                <patternFill>
                  <bgColor indexed="10"/>
                </patternFill>
              </fill>
            </x14:dxf>
          </x14:cfRule>
          <xm:sqref>V201:V202</xm:sqref>
        </x14:conditionalFormatting>
        <x14:conditionalFormatting xmlns:xm="http://schemas.microsoft.com/office/excel/2006/main">
          <x14:cfRule type="expression" priority="26511" id="{D738C595-0AB1-410B-A82F-B93BCE90122F}">
            <xm:f>AND(IF(AC201&gt;'Plan de Accion 2018'!BB123,AC201&lt;&gt;¨N/A¨))</xm:f>
            <x14:dxf>
              <fill>
                <patternFill>
                  <bgColor theme="1" tint="0.499984740745262"/>
                </patternFill>
              </fill>
            </x14:dxf>
          </x14:cfRule>
          <x14:cfRule type="expression" priority="26512" stopIfTrue="1" id="{8B858AC2-8231-453C-A5E2-30898E1005DB}">
            <xm:f>AND(IF(AC201='Plan de Accion 2018'!BB123,AC201&lt;&gt;"N/A"))</xm:f>
            <x14:dxf>
              <fill>
                <patternFill>
                  <bgColor rgb="FF00B050"/>
                </patternFill>
              </fill>
            </x14:dxf>
          </x14:cfRule>
          <x14:cfRule type="expression" priority="26513" stopIfTrue="1" id="{E92F9A76-B53A-40C2-9813-3DB56118F4F4}">
            <xm:f>AND(IF(AC201&lt;'Plan de Accion 2018'!BB123,AC201&lt;&gt;"N/A"))</xm:f>
            <x14:dxf>
              <fill>
                <patternFill>
                  <bgColor indexed="10"/>
                </patternFill>
              </fill>
            </x14:dxf>
          </x14:cfRule>
          <xm:sqref>AC201:AC202</xm:sqref>
        </x14:conditionalFormatting>
        <x14:conditionalFormatting xmlns:xm="http://schemas.microsoft.com/office/excel/2006/main">
          <x14:cfRule type="expression" priority="26733" id="{8166AEC4-BA14-4974-9BBE-9627870EB103}">
            <xm:f>AND(IF(V85&gt;'Plan de Accion 2018'!AR125,V85&lt;&gt;¨N/A¨))</xm:f>
            <x14:dxf>
              <fill>
                <patternFill>
                  <bgColor theme="1" tint="0.499984740745262"/>
                </patternFill>
              </fill>
            </x14:dxf>
          </x14:cfRule>
          <x14:cfRule type="expression" priority="26734" stopIfTrue="1" id="{0524BA59-1854-4808-B4C0-28B751660251}">
            <xm:f>AND(IF(V85='Plan de Accion 2018'!AR150,V85&lt;&gt;"N/A"))</xm:f>
            <x14:dxf>
              <fill>
                <patternFill>
                  <bgColor rgb="FF00B050"/>
                </patternFill>
              </fill>
            </x14:dxf>
          </x14:cfRule>
          <x14:cfRule type="expression" priority="26735" stopIfTrue="1" id="{CB1D1036-2F78-4D6F-8468-610DBC79BF90}">
            <xm:f>AND(IF(V85&lt;'Plan de Accion 2018'!AR150,V85&lt;&gt;"N/A"))</xm:f>
            <x14:dxf>
              <fill>
                <patternFill>
                  <bgColor indexed="10"/>
                </patternFill>
              </fill>
            </x14:dxf>
          </x14:cfRule>
          <xm:sqref>V85 V90</xm:sqref>
        </x14:conditionalFormatting>
        <x14:conditionalFormatting xmlns:xm="http://schemas.microsoft.com/office/excel/2006/main">
          <x14:cfRule type="expression" priority="26736" id="{81AB846C-760D-4A9C-A83B-C76A477DA501}">
            <xm:f>AND(IF(O124&gt;'Plan de Accion 2018'!AH48,O124&lt;&gt;¨N/A¨))</xm:f>
            <x14:dxf>
              <fill>
                <patternFill>
                  <bgColor theme="1" tint="0.499984740745262"/>
                </patternFill>
              </fill>
            </x14:dxf>
          </x14:cfRule>
          <x14:cfRule type="expression" priority="26737" stopIfTrue="1" id="{199DECBF-E25A-4C0F-BA3F-4ECA69396AA4}">
            <xm:f>AND(IF(O124='Plan de Accion 2018'!AH150,O124&lt;&gt;"N/A"))</xm:f>
            <x14:dxf>
              <fill>
                <patternFill>
                  <bgColor rgb="FF00B050"/>
                </patternFill>
              </fill>
            </x14:dxf>
          </x14:cfRule>
          <x14:cfRule type="expression" priority="26738" stopIfTrue="1" id="{0A33EFD9-16D2-4B10-80C8-00D134733268}">
            <xm:f>AND(IF(O124&lt;'Plan de Accion 2018'!AH150,O124&lt;&gt;"N/A"))</xm:f>
            <x14:dxf>
              <fill>
                <patternFill>
                  <bgColor indexed="10"/>
                </patternFill>
              </fill>
            </x14:dxf>
          </x14:cfRule>
          <xm:sqref>O124</xm:sqref>
        </x14:conditionalFormatting>
        <x14:conditionalFormatting xmlns:xm="http://schemas.microsoft.com/office/excel/2006/main">
          <x14:cfRule type="expression" priority="26739" id="{3EB21911-3DAB-44BC-9A51-EEE875571E12}">
            <xm:f>AND(IF(V124&gt;'Plan de Accion 2018'!AR150,V124&lt;&gt;¨N/A¨))</xm:f>
            <x14:dxf>
              <fill>
                <patternFill>
                  <bgColor theme="1" tint="0.499984740745262"/>
                </patternFill>
              </fill>
            </x14:dxf>
          </x14:cfRule>
          <x14:cfRule type="expression" priority="26740" stopIfTrue="1" id="{E7F70A3E-131C-4FBE-AE60-C9CCF414207F}">
            <xm:f>AND(IF(V124='Plan de Accion 2018'!AR48,V124&lt;&gt;"N/A"))</xm:f>
            <x14:dxf>
              <fill>
                <patternFill>
                  <bgColor rgb="FF00B050"/>
                </patternFill>
              </fill>
            </x14:dxf>
          </x14:cfRule>
          <x14:cfRule type="expression" priority="26741" stopIfTrue="1" id="{66ACA22A-9ABE-4CAD-828A-8444950DE5EE}">
            <xm:f>AND(IF(V124&lt;'Plan de Accion 2018'!AR48,V124&lt;&gt;"N/A"))</xm:f>
            <x14:dxf>
              <fill>
                <patternFill>
                  <bgColor indexed="10"/>
                </patternFill>
              </fill>
            </x14:dxf>
          </x14:cfRule>
          <xm:sqref>V124</xm:sqref>
        </x14:conditionalFormatting>
        <x14:conditionalFormatting xmlns:xm="http://schemas.microsoft.com/office/excel/2006/main">
          <x14:cfRule type="expression" priority="27741" id="{8166AEC4-BA14-4974-9BBE-9627870EB103}">
            <xm:f>AND(IF(V86&gt;'Plan de Accion 2018'!AR126,V86&lt;&gt;¨N/A¨))</xm:f>
            <x14:dxf>
              <fill>
                <patternFill>
                  <bgColor theme="1" tint="0.499984740745262"/>
                </patternFill>
              </fill>
            </x14:dxf>
          </x14:cfRule>
          <x14:cfRule type="expression" priority="27742" stopIfTrue="1" id="{0524BA59-1854-4808-B4C0-28B751660251}">
            <xm:f>AND(IF(V86='Plan de Accion 2018'!AR153,V86&lt;&gt;"N/A"))</xm:f>
            <x14:dxf>
              <fill>
                <patternFill>
                  <bgColor rgb="FF00B050"/>
                </patternFill>
              </fill>
            </x14:dxf>
          </x14:cfRule>
          <x14:cfRule type="expression" priority="27743" stopIfTrue="1" id="{CB1D1036-2F78-4D6F-8468-610DBC79BF90}">
            <xm:f>AND(IF(V86&lt;'Plan de Accion 2018'!AR153,V86&lt;&gt;"N/A"))</xm:f>
            <x14:dxf>
              <fill>
                <patternFill>
                  <bgColor indexed="10"/>
                </patternFill>
              </fill>
            </x14:dxf>
          </x14:cfRule>
          <xm:sqref>V86</xm:sqref>
        </x14:conditionalFormatting>
        <x14:conditionalFormatting xmlns:xm="http://schemas.microsoft.com/office/excel/2006/main">
          <x14:cfRule type="expression" priority="27747" id="{81AB846C-760D-4A9C-A83B-C76A477DA501}">
            <xm:f>AND(IF(O125&gt;'Plan de Accion 2018'!AH49,O125&lt;&gt;¨N/A¨))</xm:f>
            <x14:dxf>
              <fill>
                <patternFill>
                  <bgColor theme="1" tint="0.499984740745262"/>
                </patternFill>
              </fill>
            </x14:dxf>
          </x14:cfRule>
          <x14:cfRule type="expression" priority="27748" stopIfTrue="1" id="{199DECBF-E25A-4C0F-BA3F-4ECA69396AA4}">
            <xm:f>AND(IF(O125='Plan de Accion 2018'!AH153,O125&lt;&gt;"N/A"))</xm:f>
            <x14:dxf>
              <fill>
                <patternFill>
                  <bgColor rgb="FF00B050"/>
                </patternFill>
              </fill>
            </x14:dxf>
          </x14:cfRule>
          <x14:cfRule type="expression" priority="27749" stopIfTrue="1" id="{0A33EFD9-16D2-4B10-80C8-00D134733268}">
            <xm:f>AND(IF(O125&lt;'Plan de Accion 2018'!AH153,O125&lt;&gt;"N/A"))</xm:f>
            <x14:dxf>
              <fill>
                <patternFill>
                  <bgColor indexed="10"/>
                </patternFill>
              </fill>
            </x14:dxf>
          </x14:cfRule>
          <xm:sqref>O125</xm:sqref>
        </x14:conditionalFormatting>
        <x14:conditionalFormatting xmlns:xm="http://schemas.microsoft.com/office/excel/2006/main">
          <x14:cfRule type="expression" priority="29790" id="{3EB21911-3DAB-44BC-9A51-EEE875571E12}">
            <xm:f>AND(IF(V125&gt;'Plan de Accion 2018'!AR153,V125&lt;&gt;¨N/A¨))</xm:f>
            <x14:dxf>
              <fill>
                <patternFill>
                  <bgColor theme="1" tint="0.499984740745262"/>
                </patternFill>
              </fill>
            </x14:dxf>
          </x14:cfRule>
          <x14:cfRule type="expression" priority="29791" stopIfTrue="1" id="{E7F70A3E-131C-4FBE-AE60-C9CCF414207F}">
            <xm:f>AND(IF(V125='Plan de Accion 2018'!AR49,V125&lt;&gt;"N/A"))</xm:f>
            <x14:dxf>
              <fill>
                <patternFill>
                  <bgColor rgb="FF00B050"/>
                </patternFill>
              </fill>
            </x14:dxf>
          </x14:cfRule>
          <x14:cfRule type="expression" priority="29792" stopIfTrue="1" id="{66ACA22A-9ABE-4CAD-828A-8444950DE5EE}">
            <xm:f>AND(IF(V125&lt;'Plan de Accion 2018'!AR49,V125&lt;&gt;"N/A"))</xm:f>
            <x14:dxf>
              <fill>
                <patternFill>
                  <bgColor indexed="10"/>
                </patternFill>
              </fill>
            </x14:dxf>
          </x14:cfRule>
          <xm:sqref>V125:V127</xm:sqref>
        </x14:conditionalFormatting>
        <x14:conditionalFormatting xmlns:xm="http://schemas.microsoft.com/office/excel/2006/main">
          <x14:cfRule type="expression" priority="30834" id="{3EB21911-3DAB-44BC-9A51-EEE875571E12}">
            <xm:f>AND(IF(V128&gt;'Plan de Accion 2018'!#REF!,V128&lt;&gt;¨N/A¨))</xm:f>
            <x14:dxf>
              <fill>
                <patternFill>
                  <bgColor theme="1" tint="0.499984740745262"/>
                </patternFill>
              </fill>
            </x14:dxf>
          </x14:cfRule>
          <x14:cfRule type="expression" priority="30835" stopIfTrue="1" id="{E7F70A3E-131C-4FBE-AE60-C9CCF414207F}">
            <xm:f>AND(IF(V128='Plan de Accion 2018'!AR52,V128&lt;&gt;"N/A"))</xm:f>
            <x14:dxf>
              <fill>
                <patternFill>
                  <bgColor rgb="FF00B050"/>
                </patternFill>
              </fill>
            </x14:dxf>
          </x14:cfRule>
          <x14:cfRule type="expression" priority="30836" stopIfTrue="1" id="{66ACA22A-9ABE-4CAD-828A-8444950DE5EE}">
            <xm:f>AND(IF(V128&lt;'Plan de Accion 2018'!AR52,V128&lt;&gt;"N/A"))</xm:f>
            <x14:dxf>
              <fill>
                <patternFill>
                  <bgColor indexed="10"/>
                </patternFill>
              </fill>
            </x14:dxf>
          </x14:cfRule>
          <xm:sqref>V128:V134</xm:sqref>
        </x14:conditionalFormatting>
        <x14:conditionalFormatting xmlns:xm="http://schemas.microsoft.com/office/excel/2006/main">
          <x14:cfRule type="expression" priority="32727" id="{454929CB-B2BE-4B82-8D51-7FFADC28FE7B}">
            <xm:f>AND(IF(H99&gt;'Plan de Accion 2018'!X48,H99&lt;&gt;¨N/A¨))</xm:f>
            <x14:dxf>
              <fill>
                <patternFill>
                  <bgColor theme="1" tint="0.499984740745262"/>
                </patternFill>
              </fill>
            </x14:dxf>
          </x14:cfRule>
          <x14:cfRule type="expression" priority="32728" stopIfTrue="1" id="{BF072DE8-3409-4472-9505-577D90055B9D}">
            <xm:f>AND(IF(H99='Plan de Accion 2018'!X48,H99&lt;&gt;"N/A"))</xm:f>
            <x14:dxf>
              <fill>
                <patternFill>
                  <bgColor rgb="FF00B050"/>
                </patternFill>
              </fill>
            </x14:dxf>
          </x14:cfRule>
          <x14:cfRule type="expression" priority="32729" stopIfTrue="1" id="{95D317B6-7C36-4C81-8309-8AC8F818E60E}">
            <xm:f>AND(IF(H99&lt;'Plan de Accion 2018'!X48,H99&lt;&gt;"N/A"))</xm:f>
            <x14:dxf>
              <fill>
                <patternFill>
                  <bgColor indexed="10"/>
                </patternFill>
              </fill>
            </x14:dxf>
          </x14:cfRule>
          <xm:sqref>H99:H100</xm:sqref>
        </x14:conditionalFormatting>
        <x14:conditionalFormatting xmlns:xm="http://schemas.microsoft.com/office/excel/2006/main">
          <x14:cfRule type="expression" priority="32826" id="{D98485B0-A829-4DD7-85D9-8DA6D7CCC5BA}">
            <xm:f>AND(IF(O99&gt;'Plan de Accion 2018'!AH48,O99&lt;&gt;¨N/A¨))</xm:f>
            <x14:dxf>
              <fill>
                <patternFill>
                  <bgColor theme="1" tint="0.499984740745262"/>
                </patternFill>
              </fill>
            </x14:dxf>
          </x14:cfRule>
          <x14:cfRule type="expression" priority="32827" stopIfTrue="1" id="{9307B8D1-B8E1-4DBB-B56C-2F037F4C94A1}">
            <xm:f>AND(IF(O99='Plan de Accion 2018'!AH48,O99&lt;&gt;"N/A"))</xm:f>
            <x14:dxf>
              <fill>
                <patternFill>
                  <bgColor rgb="FF00B050"/>
                </patternFill>
              </fill>
            </x14:dxf>
          </x14:cfRule>
          <x14:cfRule type="expression" priority="32828" stopIfTrue="1" id="{7B74C219-9C67-4EB3-AE05-4E03690C1723}">
            <xm:f>AND(IF(O99&lt;'Plan de Accion 2018'!AH48,O99&lt;&gt;"N/A"))</xm:f>
            <x14:dxf>
              <fill>
                <patternFill>
                  <bgColor indexed="10"/>
                </patternFill>
              </fill>
            </x14:dxf>
          </x14:cfRule>
          <xm:sqref>O99:O100</xm:sqref>
        </x14:conditionalFormatting>
        <x14:conditionalFormatting xmlns:xm="http://schemas.microsoft.com/office/excel/2006/main">
          <x14:cfRule type="expression" priority="32913" id="{65AF48CA-FC9D-4E42-AECB-8D612DC1476F}">
            <xm:f>AND(IF(V99&gt;'Plan de Accion 2018'!AR48,V99&lt;&gt;¨N/A¨))</xm:f>
            <x14:dxf>
              <fill>
                <patternFill>
                  <bgColor theme="1" tint="0.499984740745262"/>
                </patternFill>
              </fill>
            </x14:dxf>
          </x14:cfRule>
          <x14:cfRule type="expression" priority="32914" stopIfTrue="1" id="{DE3A9B37-2057-47BE-832F-CD31597234B4}">
            <xm:f>AND(IF(V99='Plan de Accion 2018'!AR48,V99&lt;&gt;"N/A"))</xm:f>
            <x14:dxf>
              <fill>
                <patternFill>
                  <bgColor rgb="FF00B050"/>
                </patternFill>
              </fill>
            </x14:dxf>
          </x14:cfRule>
          <x14:cfRule type="expression" priority="32915" stopIfTrue="1" id="{01F47C49-371A-4783-8FE8-9CF46627B5B5}">
            <xm:f>AND(IF(V99&lt;'Plan de Accion 2018'!AR48,V99&lt;&gt;"N/A"))</xm:f>
            <x14:dxf>
              <fill>
                <patternFill>
                  <bgColor indexed="10"/>
                </patternFill>
              </fill>
            </x14:dxf>
          </x14:cfRule>
          <xm:sqref>V99:V100</xm:sqref>
        </x14:conditionalFormatting>
        <x14:conditionalFormatting xmlns:xm="http://schemas.microsoft.com/office/excel/2006/main">
          <x14:cfRule type="expression" priority="32991" id="{6D896BDB-6D5B-4222-93E6-E0259719579B}">
            <xm:f>AND(IF(AC99&gt;'Plan de Accion 2018'!BB48,AC99&lt;&gt;¨N/A¨))</xm:f>
            <x14:dxf>
              <fill>
                <patternFill>
                  <bgColor theme="1" tint="0.499984740745262"/>
                </patternFill>
              </fill>
            </x14:dxf>
          </x14:cfRule>
          <x14:cfRule type="expression" priority="32992" stopIfTrue="1" id="{2CA64479-C4F8-459E-9FDD-2B5B5F34A102}">
            <xm:f>AND(IF(AC99='Plan de Accion 2018'!BB48,AC99&lt;&gt;"N/A"))</xm:f>
            <x14:dxf>
              <fill>
                <patternFill>
                  <bgColor rgb="FF00B050"/>
                </patternFill>
              </fill>
            </x14:dxf>
          </x14:cfRule>
          <x14:cfRule type="expression" priority="32993" stopIfTrue="1" id="{2121FBCC-C566-4579-BB83-8963027BF904}">
            <xm:f>AND(IF(AC99&lt;'Plan de Accion 2018'!BB48,AC99&lt;&gt;"N/A"))</xm:f>
            <x14:dxf>
              <fill>
                <patternFill>
                  <bgColor indexed="10"/>
                </patternFill>
              </fill>
            </x14:dxf>
          </x14:cfRule>
          <xm:sqref>AC99:AC100</xm:sqref>
        </x14:conditionalFormatting>
        <x14:conditionalFormatting xmlns:xm="http://schemas.microsoft.com/office/excel/2006/main">
          <x14:cfRule type="expression" priority="33765" id="{7D7DE63B-5E55-4D88-AB07-4FB52BF8C37A}">
            <xm:f>AND(IF(H15&gt;'Plan de Accion 2018'!X92,H15&lt;&gt;¨N/A¨))</xm:f>
            <x14:dxf>
              <fill>
                <patternFill>
                  <bgColor theme="1" tint="0.499984740745262"/>
                </patternFill>
              </fill>
            </x14:dxf>
          </x14:cfRule>
          <x14:cfRule type="expression" priority="33766" stopIfTrue="1" id="{00000000-000E-0000-0300-0000FA060000}">
            <xm:f>AND(IF(H15='Plan de Accion 2018'!X92,H15&lt;&gt;"N/A"))</xm:f>
            <x14:dxf>
              <fill>
                <patternFill>
                  <bgColor rgb="FF00B050"/>
                </patternFill>
              </fill>
            </x14:dxf>
          </x14:cfRule>
          <x14:cfRule type="expression" priority="33767" stopIfTrue="1" id="{00000000-000E-0000-0300-0000FC060000}">
            <xm:f>AND(IF(H15&lt;'Plan de Accion 2018'!X92,H15&lt;&gt;"N/A"))</xm:f>
            <x14:dxf>
              <fill>
                <patternFill>
                  <bgColor indexed="10"/>
                </patternFill>
              </fill>
            </x14:dxf>
          </x14:cfRule>
          <xm:sqref>H15:H17 H27</xm:sqref>
        </x14:conditionalFormatting>
        <x14:conditionalFormatting xmlns:xm="http://schemas.microsoft.com/office/excel/2006/main">
          <x14:cfRule type="expression" priority="33786" id="{9635B60D-3B78-43AA-94BF-3F988CFCC799}">
            <xm:f>AND(IF(O15&gt;'Plan de Accion 2018'!AH92,O15&lt;&gt;¨N/A¨))</xm:f>
            <x14:dxf>
              <fill>
                <patternFill>
                  <bgColor theme="1" tint="0.499984740745262"/>
                </patternFill>
              </fill>
            </x14:dxf>
          </x14:cfRule>
          <x14:cfRule type="expression" priority="33787" stopIfTrue="1" id="{404F032B-48CE-458A-9249-84803D96C9EB}">
            <xm:f>AND(IF(O15='Plan de Accion 2018'!AH92,O15&lt;&gt;"N/A"))</xm:f>
            <x14:dxf>
              <fill>
                <patternFill>
                  <bgColor rgb="FF00B050"/>
                </patternFill>
              </fill>
            </x14:dxf>
          </x14:cfRule>
          <x14:cfRule type="expression" priority="33788" stopIfTrue="1" id="{E83C4961-5DDE-4A21-9CED-7232A00AC2BA}">
            <xm:f>AND(IF(O15&lt;'Plan de Accion 2018'!AH92,O15&lt;&gt;"N/A"))</xm:f>
            <x14:dxf>
              <fill>
                <patternFill>
                  <bgColor indexed="10"/>
                </patternFill>
              </fill>
            </x14:dxf>
          </x14:cfRule>
          <xm:sqref>O15:O17 O30 O27</xm:sqref>
        </x14:conditionalFormatting>
        <x14:conditionalFormatting xmlns:xm="http://schemas.microsoft.com/office/excel/2006/main">
          <x14:cfRule type="expression" priority="33834" id="{1E9D69AB-0694-4271-A68A-4C2AB9749529}">
            <xm:f>AND(IF(V15&gt;'Plan de Accion 2018'!AR92,V15&lt;&gt;¨N/A¨))</xm:f>
            <x14:dxf>
              <fill>
                <patternFill>
                  <bgColor theme="1" tint="0.499984740745262"/>
                </patternFill>
              </fill>
            </x14:dxf>
          </x14:cfRule>
          <x14:cfRule type="expression" priority="33835" stopIfTrue="1" id="{4E1C9FBB-41B3-44CB-8BA4-A08122D92C7D}">
            <xm:f>AND(IF(V15='Plan de Accion 2018'!AR92,V15&lt;&gt;"N/A"))</xm:f>
            <x14:dxf>
              <fill>
                <patternFill>
                  <bgColor rgb="FF00B050"/>
                </patternFill>
              </fill>
            </x14:dxf>
          </x14:cfRule>
          <x14:cfRule type="expression" priority="33836" stopIfTrue="1" id="{D99BA996-213D-4FC8-8A8E-4DBA63D9A2A4}">
            <xm:f>AND(IF(V15&lt;'Plan de Accion 2018'!AR92,V15&lt;&gt;"N/A"))</xm:f>
            <x14:dxf>
              <fill>
                <patternFill>
                  <bgColor indexed="10"/>
                </patternFill>
              </fill>
            </x14:dxf>
          </x14:cfRule>
          <xm:sqref>V15:V17 V30 V27</xm:sqref>
        </x14:conditionalFormatting>
        <x14:conditionalFormatting xmlns:xm="http://schemas.microsoft.com/office/excel/2006/main">
          <x14:cfRule type="expression" priority="33837" id="{2FFED81D-AD1A-4481-837F-6CA01CE302AC}">
            <xm:f>AND(IF(AC15&gt;'Plan de Accion 2018'!BB92,AC15&lt;&gt;¨N/A¨))</xm:f>
            <x14:dxf>
              <fill>
                <patternFill>
                  <bgColor theme="1" tint="0.499984740745262"/>
                </patternFill>
              </fill>
            </x14:dxf>
          </x14:cfRule>
          <x14:cfRule type="expression" priority="33838" stopIfTrue="1" id="{0FEA846A-70C0-400C-BAA0-0FD9AE5191E1}">
            <xm:f>AND(IF(AC15='Plan de Accion 2018'!BB92,AC15&lt;&gt;"N/A"))</xm:f>
            <x14:dxf>
              <fill>
                <patternFill>
                  <bgColor rgb="FF00B050"/>
                </patternFill>
              </fill>
            </x14:dxf>
          </x14:cfRule>
          <x14:cfRule type="expression" priority="33839" stopIfTrue="1" id="{EB7A37DA-053C-4544-BFEF-0EEE9C93918E}">
            <xm:f>AND(IF(AC15&lt;'Plan de Accion 2018'!BB92,AC15&lt;&gt;"N/A"))</xm:f>
            <x14:dxf>
              <fill>
                <patternFill>
                  <bgColor indexed="10"/>
                </patternFill>
              </fill>
            </x14:dxf>
          </x14:cfRule>
          <xm:sqref>AC15:AC17 AC30 AC27</xm:sqref>
        </x14:conditionalFormatting>
        <x14:conditionalFormatting xmlns:xm="http://schemas.microsoft.com/office/excel/2006/main">
          <x14:cfRule type="expression" priority="35163" id="{A48A741E-2335-4636-8D08-7B27C3E4956C}">
            <xm:f>AND(IF(H174&gt;'Plan de Accion 2018'!X114,H174&lt;&gt;¨N/A¨))</xm:f>
            <x14:dxf>
              <fill>
                <patternFill>
                  <bgColor theme="1" tint="0.499984740745262"/>
                </patternFill>
              </fill>
            </x14:dxf>
          </x14:cfRule>
          <x14:cfRule type="expression" priority="35164" stopIfTrue="1" id="{00EE595D-D89E-431F-BE3A-5343A63E1EDB}">
            <xm:f>AND(IF(H174='Plan de Accion 2018'!X114,H174&lt;&gt;"N/A"))</xm:f>
            <x14:dxf>
              <fill>
                <patternFill>
                  <bgColor rgb="FF00B050"/>
                </patternFill>
              </fill>
            </x14:dxf>
          </x14:cfRule>
          <x14:cfRule type="expression" priority="35165" stopIfTrue="1" id="{52C94201-6FC1-4E11-B07B-06A0F9B26529}">
            <xm:f>AND(IF(H174&lt;'Plan de Accion 2018'!X114,H174&lt;&gt;"N/A"))</xm:f>
            <x14:dxf>
              <fill>
                <patternFill>
                  <bgColor indexed="10"/>
                </patternFill>
              </fill>
            </x14:dxf>
          </x14:cfRule>
          <xm:sqref>H174</xm:sqref>
        </x14:conditionalFormatting>
        <x14:conditionalFormatting xmlns:xm="http://schemas.microsoft.com/office/excel/2006/main">
          <x14:cfRule type="expression" priority="35373" id="{65B77048-8EBB-4671-A11F-AA4AB698F6A3}">
            <xm:f>AND(IF(O174&gt;'Plan de Accion 2018'!AH114,O174&lt;&gt;¨N/A¨))</xm:f>
            <x14:dxf>
              <fill>
                <patternFill>
                  <bgColor theme="1" tint="0.499984740745262"/>
                </patternFill>
              </fill>
            </x14:dxf>
          </x14:cfRule>
          <x14:cfRule type="expression" priority="35374" stopIfTrue="1" id="{6B01A7A2-E4EE-4493-B0F4-5ABBD6CC3620}">
            <xm:f>AND(IF(O174='Plan de Accion 2018'!AH114,O174&lt;&gt;"N/A"))</xm:f>
            <x14:dxf>
              <fill>
                <patternFill>
                  <bgColor rgb="FF00B050"/>
                </patternFill>
              </fill>
            </x14:dxf>
          </x14:cfRule>
          <x14:cfRule type="expression" priority="35375" stopIfTrue="1" id="{783DC5D6-163E-4602-ABB9-EEC214A0FB42}">
            <xm:f>AND(IF(O174&lt;'Plan de Accion 2018'!AH114,O174&lt;&gt;"N/A"))</xm:f>
            <x14:dxf>
              <fill>
                <patternFill>
                  <bgColor indexed="10"/>
                </patternFill>
              </fill>
            </x14:dxf>
          </x14:cfRule>
          <xm:sqref>O174</xm:sqref>
        </x14:conditionalFormatting>
        <x14:conditionalFormatting xmlns:xm="http://schemas.microsoft.com/office/excel/2006/main">
          <x14:cfRule type="expression" priority="35559" id="{101D77A3-05AE-4959-8A32-DD9C91F7F4CB}">
            <xm:f>AND(IF(V174&gt;'Plan de Accion 2018'!AR114,V174&lt;&gt;¨N/A¨))</xm:f>
            <x14:dxf>
              <fill>
                <patternFill>
                  <bgColor theme="1" tint="0.499984740745262"/>
                </patternFill>
              </fill>
            </x14:dxf>
          </x14:cfRule>
          <x14:cfRule type="expression" priority="35560" stopIfTrue="1" id="{52D6CCA1-3C6E-40BA-A293-2ACFCEE97573}">
            <xm:f>AND(IF(V174='Plan de Accion 2018'!AR114,V174&lt;&gt;"N/A"))</xm:f>
            <x14:dxf>
              <fill>
                <patternFill>
                  <bgColor rgb="FF00B050"/>
                </patternFill>
              </fill>
            </x14:dxf>
          </x14:cfRule>
          <x14:cfRule type="expression" priority="35561" stopIfTrue="1" id="{D3647766-93EF-40A7-A578-C77F2485DDFE}">
            <xm:f>AND(IF(V174&lt;'Plan de Accion 2018'!AR114,V174&lt;&gt;"N/A"))</xm:f>
            <x14:dxf>
              <fill>
                <patternFill>
                  <bgColor indexed="10"/>
                </patternFill>
              </fill>
            </x14:dxf>
          </x14:cfRule>
          <xm:sqref>V174</xm:sqref>
        </x14:conditionalFormatting>
        <x14:conditionalFormatting xmlns:xm="http://schemas.microsoft.com/office/excel/2006/main">
          <x14:cfRule type="expression" priority="35748" id="{B7BFF239-E33D-4118-A834-DF22EF33402C}">
            <xm:f>AND(IF(AC174&gt;'Plan de Accion 2018'!BB114,AC174&lt;&gt;¨N/A¨))</xm:f>
            <x14:dxf>
              <fill>
                <patternFill>
                  <bgColor theme="1" tint="0.499984740745262"/>
                </patternFill>
              </fill>
            </x14:dxf>
          </x14:cfRule>
          <x14:cfRule type="expression" priority="35749" stopIfTrue="1" id="{03A8B7B2-6348-43C6-9B2D-64B57D795C84}">
            <xm:f>AND(IF(AC174='Plan de Accion 2018'!BB114,AC174&lt;&gt;"N/A"))</xm:f>
            <x14:dxf>
              <fill>
                <patternFill>
                  <bgColor rgb="FF00B050"/>
                </patternFill>
              </fill>
            </x14:dxf>
          </x14:cfRule>
          <x14:cfRule type="expression" priority="35750" stopIfTrue="1" id="{F61726E2-2D36-41F9-84D0-F2F96F885312}">
            <xm:f>AND(IF(AC174&lt;'Plan de Accion 2018'!BB114,AC174&lt;&gt;"N/A"))</xm:f>
            <x14:dxf>
              <fill>
                <patternFill>
                  <bgColor indexed="10"/>
                </patternFill>
              </fill>
            </x14:dxf>
          </x14:cfRule>
          <xm:sqref>AC174</xm:sqref>
        </x14:conditionalFormatting>
        <x14:conditionalFormatting xmlns:xm="http://schemas.microsoft.com/office/excel/2006/main">
          <x14:cfRule type="expression" priority="35931" id="{7D7DE63B-5E55-4D88-AB07-4FB52BF8C37A}">
            <xm:f>AND(IF(H25&gt;'Plan de Accion 2018'!X101,H25&lt;&gt;¨N/A¨))</xm:f>
            <x14:dxf>
              <fill>
                <patternFill>
                  <bgColor theme="1" tint="0.499984740745262"/>
                </patternFill>
              </fill>
            </x14:dxf>
          </x14:cfRule>
          <x14:cfRule type="expression" priority="35932" stopIfTrue="1" id="{00000000-000E-0000-0300-0000FA060000}">
            <xm:f>AND(IF(H25='Plan de Accion 2018'!X101,H25&lt;&gt;"N/A"))</xm:f>
            <x14:dxf>
              <fill>
                <patternFill>
                  <bgColor rgb="FF00B050"/>
                </patternFill>
              </fill>
            </x14:dxf>
          </x14:cfRule>
          <x14:cfRule type="expression" priority="35933" stopIfTrue="1" id="{00000000-000E-0000-0300-0000FC060000}">
            <xm:f>AND(IF(H25&lt;'Plan de Accion 2018'!X101,H25&lt;&gt;"N/A"))</xm:f>
            <x14:dxf>
              <fill>
                <patternFill>
                  <bgColor indexed="10"/>
                </patternFill>
              </fill>
            </x14:dxf>
          </x14:cfRule>
          <xm:sqref>H25:H26</xm:sqref>
        </x14:conditionalFormatting>
        <x14:conditionalFormatting xmlns:xm="http://schemas.microsoft.com/office/excel/2006/main">
          <x14:cfRule type="expression" priority="35961" id="{9635B60D-3B78-43AA-94BF-3F988CFCC799}">
            <xm:f>AND(IF(O23&gt;'Plan de Accion 2018'!AH99,O23&lt;&gt;¨N/A¨))</xm:f>
            <x14:dxf>
              <fill>
                <patternFill>
                  <bgColor theme="1" tint="0.499984740745262"/>
                </patternFill>
              </fill>
            </x14:dxf>
          </x14:cfRule>
          <x14:cfRule type="expression" priority="35962" stopIfTrue="1" id="{404F032B-48CE-458A-9249-84803D96C9EB}">
            <xm:f>AND(IF(O23='Plan de Accion 2018'!AH99,O23&lt;&gt;"N/A"))</xm:f>
            <x14:dxf>
              <fill>
                <patternFill>
                  <bgColor rgb="FF00B050"/>
                </patternFill>
              </fill>
            </x14:dxf>
          </x14:cfRule>
          <x14:cfRule type="expression" priority="35963" stopIfTrue="1" id="{E83C4961-5DDE-4A21-9CED-7232A00AC2BA}">
            <xm:f>AND(IF(O23&lt;'Plan de Accion 2018'!AH99,O23&lt;&gt;"N/A"))</xm:f>
            <x14:dxf>
              <fill>
                <patternFill>
                  <bgColor indexed="10"/>
                </patternFill>
              </fill>
            </x14:dxf>
          </x14:cfRule>
          <xm:sqref>O23:O26</xm:sqref>
        </x14:conditionalFormatting>
        <x14:conditionalFormatting xmlns:xm="http://schemas.microsoft.com/office/excel/2006/main">
          <x14:cfRule type="expression" priority="36033" id="{1E9D69AB-0694-4271-A68A-4C2AB9749529}">
            <xm:f>AND(IF(V23&gt;'Plan de Accion 2018'!AR99,V23&lt;&gt;¨N/A¨))</xm:f>
            <x14:dxf>
              <fill>
                <patternFill>
                  <bgColor theme="1" tint="0.499984740745262"/>
                </patternFill>
              </fill>
            </x14:dxf>
          </x14:cfRule>
          <x14:cfRule type="expression" priority="36034" stopIfTrue="1" id="{4E1C9FBB-41B3-44CB-8BA4-A08122D92C7D}">
            <xm:f>AND(IF(V23='Plan de Accion 2018'!AR99,V23&lt;&gt;"N/A"))</xm:f>
            <x14:dxf>
              <fill>
                <patternFill>
                  <bgColor rgb="FF00B050"/>
                </patternFill>
              </fill>
            </x14:dxf>
          </x14:cfRule>
          <x14:cfRule type="expression" priority="36035" stopIfTrue="1" id="{D99BA996-213D-4FC8-8A8E-4DBA63D9A2A4}">
            <xm:f>AND(IF(V23&lt;'Plan de Accion 2018'!AR99,V23&lt;&gt;"N/A"))</xm:f>
            <x14:dxf>
              <fill>
                <patternFill>
                  <bgColor indexed="10"/>
                </patternFill>
              </fill>
            </x14:dxf>
          </x14:cfRule>
          <xm:sqref>V23:V26</xm:sqref>
        </x14:conditionalFormatting>
        <x14:conditionalFormatting xmlns:xm="http://schemas.microsoft.com/office/excel/2006/main">
          <x14:cfRule type="expression" priority="36036" id="{2FFED81D-AD1A-4481-837F-6CA01CE302AC}">
            <xm:f>AND(IF(AC23&gt;'Plan de Accion 2018'!BB99,AC23&lt;&gt;¨N/A¨))</xm:f>
            <x14:dxf>
              <fill>
                <patternFill>
                  <bgColor theme="1" tint="0.499984740745262"/>
                </patternFill>
              </fill>
            </x14:dxf>
          </x14:cfRule>
          <x14:cfRule type="expression" priority="36037" stopIfTrue="1" id="{0FEA846A-70C0-400C-BAA0-0FD9AE5191E1}">
            <xm:f>AND(IF(AC23='Plan de Accion 2018'!BB99,AC23&lt;&gt;"N/A"))</xm:f>
            <x14:dxf>
              <fill>
                <patternFill>
                  <bgColor rgb="FF00B050"/>
                </patternFill>
              </fill>
            </x14:dxf>
          </x14:cfRule>
          <x14:cfRule type="expression" priority="36038" stopIfTrue="1" id="{EB7A37DA-053C-4544-BFEF-0EEE9C93918E}">
            <xm:f>AND(IF(AC23&lt;'Plan de Accion 2018'!BB99,AC23&lt;&gt;"N/A"))</xm:f>
            <x14:dxf>
              <fill>
                <patternFill>
                  <bgColor indexed="10"/>
                </patternFill>
              </fill>
            </x14:dxf>
          </x14:cfRule>
          <xm:sqref>AC23:AC26</xm:sqref>
        </x14:conditionalFormatting>
        <x14:conditionalFormatting xmlns:xm="http://schemas.microsoft.com/office/excel/2006/main">
          <x14:cfRule type="expression" priority="37050" id="{3EB21911-3DAB-44BC-9A51-EEE875571E12}">
            <xm:f>AND(IF(V135&gt;'Plan de Accion 2018'!#REF!,V135&lt;&gt;¨N/A¨))</xm:f>
            <x14:dxf>
              <fill>
                <patternFill>
                  <bgColor theme="1" tint="0.499984740745262"/>
                </patternFill>
              </fill>
            </x14:dxf>
          </x14:cfRule>
          <x14:cfRule type="expression" priority="37051" stopIfTrue="1" id="{E7F70A3E-131C-4FBE-AE60-C9CCF414207F}">
            <xm:f>AND(IF(V135='Plan de Accion 2018'!AR59,V135&lt;&gt;"N/A"))</xm:f>
            <x14:dxf>
              <fill>
                <patternFill>
                  <bgColor rgb="FF00B050"/>
                </patternFill>
              </fill>
            </x14:dxf>
          </x14:cfRule>
          <x14:cfRule type="expression" priority="37052" stopIfTrue="1" id="{66ACA22A-9ABE-4CAD-828A-8444950DE5EE}">
            <xm:f>AND(IF(V135&lt;'Plan de Accion 2018'!AR59,V135&lt;&gt;"N/A"))</xm:f>
            <x14:dxf>
              <fill>
                <patternFill>
                  <bgColor indexed="10"/>
                </patternFill>
              </fill>
            </x14:dxf>
          </x14:cfRule>
          <xm:sqref>V135:V138</xm:sqref>
        </x14:conditionalFormatting>
        <x14:conditionalFormatting xmlns:xm="http://schemas.microsoft.com/office/excel/2006/main">
          <x14:cfRule type="expression" priority="37095" id="{A32D7933-0464-4EC4-9099-C17E1F1495B2}">
            <xm:f>AND(IF(H38&gt;'Plan de Accion 2018'!X15,H38&lt;&gt;¨N/A¨))</xm:f>
            <x14:dxf>
              <fill>
                <patternFill>
                  <bgColor theme="1" tint="0.499984740745262"/>
                </patternFill>
              </fill>
            </x14:dxf>
          </x14:cfRule>
          <x14:cfRule type="expression" priority="37096" stopIfTrue="1" id="{03B12C24-5A63-4D21-AEF2-1CA8E641C58E}">
            <xm:f>AND(IF(H38='Plan de Accion 2018'!X15,H38&lt;&gt;"N/A"))</xm:f>
            <x14:dxf>
              <fill>
                <patternFill>
                  <bgColor rgb="FF00B050"/>
                </patternFill>
              </fill>
            </x14:dxf>
          </x14:cfRule>
          <x14:cfRule type="expression" priority="37097" stopIfTrue="1" id="{77EDED19-638B-4823-9F72-D0B66336C4B0}">
            <xm:f>AND(IF(H38&lt;'Plan de Accion 2018'!X15,H38&lt;&gt;"N/A"))</xm:f>
            <x14:dxf>
              <fill>
                <patternFill>
                  <bgColor indexed="10"/>
                </patternFill>
              </fill>
            </x14:dxf>
          </x14:cfRule>
          <xm:sqref>H38:H60</xm:sqref>
        </x14:conditionalFormatting>
        <x14:conditionalFormatting xmlns:xm="http://schemas.microsoft.com/office/excel/2006/main">
          <x14:cfRule type="expression" priority="37206" id="{FBB5C317-AB1E-4F43-B1F8-A7B4682AD7BF}">
            <xm:f>AND(IF(O38&gt;'Plan de Accion 2018'!AH15,O38&lt;&gt;¨N/A¨))</xm:f>
            <x14:dxf>
              <fill>
                <patternFill>
                  <bgColor theme="1" tint="0.499984740745262"/>
                </patternFill>
              </fill>
            </x14:dxf>
          </x14:cfRule>
          <x14:cfRule type="expression" priority="37207" stopIfTrue="1" id="{129F5EAC-2681-4D74-B97C-0363A873E61D}">
            <xm:f>AND(IF(O38='Plan de Accion 2018'!AH15,O38&lt;&gt;"N/A"))</xm:f>
            <x14:dxf>
              <fill>
                <patternFill>
                  <bgColor rgb="FF00B050"/>
                </patternFill>
              </fill>
            </x14:dxf>
          </x14:cfRule>
          <x14:cfRule type="expression" priority="37208" stopIfTrue="1" id="{E9742D4D-0A11-4AB6-9D1B-30530E79BB86}">
            <xm:f>AND(IF(O38&lt;'Plan de Accion 2018'!AH15,O38&lt;&gt;"N/A"))</xm:f>
            <x14:dxf>
              <fill>
                <patternFill>
                  <bgColor indexed="10"/>
                </patternFill>
              </fill>
            </x14:dxf>
          </x14:cfRule>
          <xm:sqref>O38:O60</xm:sqref>
        </x14:conditionalFormatting>
        <x14:conditionalFormatting xmlns:xm="http://schemas.microsoft.com/office/excel/2006/main">
          <x14:cfRule type="expression" priority="37293" id="{E3B1094F-0559-4BB0-9196-0E49F5D61E2F}">
            <xm:f>AND(IF(V38&gt;'Plan de Accion 2018'!AR15,V38&lt;&gt;¨N/A¨))</xm:f>
            <x14:dxf>
              <fill>
                <patternFill>
                  <bgColor theme="1" tint="0.499984740745262"/>
                </patternFill>
              </fill>
            </x14:dxf>
          </x14:cfRule>
          <x14:cfRule type="expression" priority="37294" stopIfTrue="1" id="{81B9F6A5-EA9B-4A4A-AA47-5D15D17C8ADC}">
            <xm:f>AND(IF(V38='Plan de Accion 2018'!AR15,V38&lt;&gt;"N/A"))</xm:f>
            <x14:dxf>
              <fill>
                <patternFill>
                  <bgColor rgb="FF00B050"/>
                </patternFill>
              </fill>
            </x14:dxf>
          </x14:cfRule>
          <x14:cfRule type="expression" priority="37295" stopIfTrue="1" id="{ADD318B2-7436-4371-AC4C-1F23F281412D}">
            <xm:f>AND(IF(V38&lt;'Plan de Accion 2018'!AR15,V38&lt;&gt;"N/A"))</xm:f>
            <x14:dxf>
              <fill>
                <patternFill>
                  <bgColor indexed="10"/>
                </patternFill>
              </fill>
            </x14:dxf>
          </x14:cfRule>
          <xm:sqref>V38:V60</xm:sqref>
        </x14:conditionalFormatting>
        <x14:conditionalFormatting xmlns:xm="http://schemas.microsoft.com/office/excel/2006/main">
          <x14:cfRule type="expression" priority="37377" id="{6E1D04E1-2C78-4608-9673-B7A426C56749}">
            <xm:f>AND(IF(AC38&gt;'Plan de Accion 2018'!BB15,AC38&lt;&gt;¨N/A¨))</xm:f>
            <x14:dxf>
              <fill>
                <patternFill>
                  <bgColor theme="1" tint="0.499984740745262"/>
                </patternFill>
              </fill>
            </x14:dxf>
          </x14:cfRule>
          <x14:cfRule type="expression" priority="37378" stopIfTrue="1" id="{05354935-4351-4328-9AC3-CD3C7B3277AD}">
            <xm:f>AND(IF(AC38='Plan de Accion 2018'!BB15,AC38&lt;&gt;"N/A"))</xm:f>
            <x14:dxf>
              <fill>
                <patternFill>
                  <bgColor rgb="FF00B050"/>
                </patternFill>
              </fill>
            </x14:dxf>
          </x14:cfRule>
          <x14:cfRule type="expression" priority="37379" stopIfTrue="1" id="{E1D9787B-9993-4508-BABB-E97010597B51}">
            <xm:f>AND(IF(AC38&lt;'Plan de Accion 2018'!BB15,AC38&lt;&gt;"N/A"))</xm:f>
            <x14:dxf>
              <fill>
                <patternFill>
                  <bgColor indexed="10"/>
                </patternFill>
              </fill>
            </x14:dxf>
          </x14:cfRule>
          <xm:sqref>AC38:AC60</xm:sqref>
        </x14:conditionalFormatting>
        <x14:conditionalFormatting xmlns:xm="http://schemas.microsoft.com/office/excel/2006/main">
          <x14:cfRule type="expression" priority="37467" id="{B029685C-622F-435A-B586-41E1BC6EF941}">
            <xm:f>AND(IF(H97&gt;'Plan de Accion 2018'!X73,H97&lt;&gt;¨N/A¨))</xm:f>
            <x14:dxf>
              <fill>
                <patternFill>
                  <bgColor theme="1" tint="0.499984740745262"/>
                </patternFill>
              </fill>
            </x14:dxf>
          </x14:cfRule>
          <x14:cfRule type="expression" priority="37468" stopIfTrue="1" id="{1A57AFC5-3E6B-466B-AA3F-E5104E18FF84}">
            <xm:f>AND(IF(H97='Plan de Accion 2018'!X73,H97&lt;&gt;"N/A"))</xm:f>
            <x14:dxf>
              <fill>
                <patternFill>
                  <bgColor rgb="FF00B050"/>
                </patternFill>
              </fill>
            </x14:dxf>
          </x14:cfRule>
          <x14:cfRule type="expression" priority="37469" stopIfTrue="1" id="{68C851E9-1731-4498-996C-272A7D22BFAB}">
            <xm:f>AND(IF(H97&lt;'Plan de Accion 2018'!X73,H97&lt;&gt;"N/A"))</xm:f>
            <x14:dxf>
              <fill>
                <patternFill>
                  <bgColor indexed="10"/>
                </patternFill>
              </fill>
            </x14:dxf>
          </x14:cfRule>
          <xm:sqref>H97</xm:sqref>
        </x14:conditionalFormatting>
        <x14:conditionalFormatting xmlns:xm="http://schemas.microsoft.com/office/excel/2006/main">
          <x14:cfRule type="expression" priority="37575" id="{D06420E3-CF30-4DD2-8280-E6FBC9305FCD}">
            <xm:f>AND(IF(O97&gt;'Plan de Accion 2018'!AH73,O97&lt;&gt;¨N/A¨))</xm:f>
            <x14:dxf>
              <fill>
                <patternFill>
                  <bgColor theme="1" tint="0.499984740745262"/>
                </patternFill>
              </fill>
            </x14:dxf>
          </x14:cfRule>
          <x14:cfRule type="expression" priority="37576" stopIfTrue="1" id="{E9A6D6B5-AAA3-43C6-9844-572A7B925557}">
            <xm:f>AND(IF(O97='Plan de Accion 2018'!AH73,O97&lt;&gt;"N/A"))</xm:f>
            <x14:dxf>
              <fill>
                <patternFill>
                  <bgColor rgb="FF00B050"/>
                </patternFill>
              </fill>
            </x14:dxf>
          </x14:cfRule>
          <x14:cfRule type="expression" priority="37577" stopIfTrue="1" id="{524635D6-4978-4420-B178-33C242E99282}">
            <xm:f>AND(IF(O97&lt;'Plan de Accion 2018'!AH73,O97&lt;&gt;"N/A"))</xm:f>
            <x14:dxf>
              <fill>
                <patternFill>
                  <bgColor indexed="10"/>
                </patternFill>
              </fill>
            </x14:dxf>
          </x14:cfRule>
          <xm:sqref>O97</xm:sqref>
        </x14:conditionalFormatting>
        <x14:conditionalFormatting xmlns:xm="http://schemas.microsoft.com/office/excel/2006/main">
          <x14:cfRule type="expression" priority="37578" id="{246632F1-7C03-489A-AE92-80E02045F584}">
            <xm:f>AND(IF(O116&gt;'Plan de Accion 2018'!AH10,O116&lt;&gt;¨N/A¨))</xm:f>
            <x14:dxf>
              <fill>
                <patternFill>
                  <bgColor theme="1" tint="0.499984740745262"/>
                </patternFill>
              </fill>
            </x14:dxf>
          </x14:cfRule>
          <x14:cfRule type="expression" priority="37579" stopIfTrue="1" id="{51DA99E1-18DB-44AC-AF36-11D3D4C398CF}">
            <xm:f>AND(IF(O116='Plan de Accion 2018'!AH10,O116&lt;&gt;"N/A"))</xm:f>
            <x14:dxf>
              <fill>
                <patternFill>
                  <bgColor rgb="FF00B050"/>
                </patternFill>
              </fill>
            </x14:dxf>
          </x14:cfRule>
          <x14:cfRule type="expression" priority="37580" stopIfTrue="1" id="{D616F941-2CD4-4A6C-8107-CB9BC7F858F4}">
            <xm:f>AND(IF(O116&lt;'Plan de Accion 2018'!AH10,O116&lt;&gt;"N/A"))</xm:f>
            <x14:dxf>
              <fill>
                <patternFill>
                  <bgColor indexed="10"/>
                </patternFill>
              </fill>
            </x14:dxf>
          </x14:cfRule>
          <xm:sqref>O116</xm:sqref>
        </x14:conditionalFormatting>
        <x14:conditionalFormatting xmlns:xm="http://schemas.microsoft.com/office/excel/2006/main">
          <x14:cfRule type="expression" priority="37656" id="{FED11198-6B63-4F33-B83E-0CDF00E72654}">
            <xm:f>AND(IF(V97&gt;'Plan de Accion 2018'!AR73,V97&lt;&gt;¨N/A¨))</xm:f>
            <x14:dxf>
              <fill>
                <patternFill>
                  <bgColor theme="1" tint="0.499984740745262"/>
                </patternFill>
              </fill>
            </x14:dxf>
          </x14:cfRule>
          <x14:cfRule type="expression" priority="37657" stopIfTrue="1" id="{A20BA1EB-D4E3-4AA8-A2C0-3787A26DFE80}">
            <xm:f>AND(IF(V97='Plan de Accion 2018'!AR73,V97&lt;&gt;"N/A"))</xm:f>
            <x14:dxf>
              <fill>
                <patternFill>
                  <bgColor rgb="FF00B050"/>
                </patternFill>
              </fill>
            </x14:dxf>
          </x14:cfRule>
          <x14:cfRule type="expression" priority="37658" stopIfTrue="1" id="{47B853B9-3C06-44C8-997D-37D77C5D9C16}">
            <xm:f>AND(IF(V97&lt;'Plan de Accion 2018'!AR73,V97&lt;&gt;"N/A"))</xm:f>
            <x14:dxf>
              <fill>
                <patternFill>
                  <bgColor indexed="10"/>
                </patternFill>
              </fill>
            </x14:dxf>
          </x14:cfRule>
          <xm:sqref>V97</xm:sqref>
        </x14:conditionalFormatting>
        <x14:conditionalFormatting xmlns:xm="http://schemas.microsoft.com/office/excel/2006/main">
          <x14:cfRule type="expression" priority="37659" id="{3CB22836-FE56-4603-9AF8-C954F93BEDC9}">
            <xm:f>AND(IF(V116&gt;'Plan de Accion 2018'!AR10,V116&lt;&gt;¨N/A¨))</xm:f>
            <x14:dxf>
              <fill>
                <patternFill>
                  <bgColor theme="1" tint="0.499984740745262"/>
                </patternFill>
              </fill>
            </x14:dxf>
          </x14:cfRule>
          <x14:cfRule type="expression" priority="37660" stopIfTrue="1" id="{5C73FD31-B063-4949-ABD4-80465FACA59A}">
            <xm:f>AND(IF(V116='Plan de Accion 2018'!AR10,V116&lt;&gt;"N/A"))</xm:f>
            <x14:dxf>
              <fill>
                <patternFill>
                  <bgColor rgb="FF00B050"/>
                </patternFill>
              </fill>
            </x14:dxf>
          </x14:cfRule>
          <x14:cfRule type="expression" priority="37661" stopIfTrue="1" id="{3350EFD4-123A-4356-88D7-929593B29394}">
            <xm:f>AND(IF(V116&lt;'Plan de Accion 2018'!AR10,V116&lt;&gt;"N/A"))</xm:f>
            <x14:dxf>
              <fill>
                <patternFill>
                  <bgColor indexed="10"/>
                </patternFill>
              </fill>
            </x14:dxf>
          </x14:cfRule>
          <xm:sqref>V116</xm:sqref>
        </x14:conditionalFormatting>
        <x14:conditionalFormatting xmlns:xm="http://schemas.microsoft.com/office/excel/2006/main">
          <x14:cfRule type="expression" priority="37746" id="{14A93AE5-ED2E-4884-BC84-1B891A3FE589}">
            <xm:f>AND(IF(AC97&gt;'Plan de Accion 2018'!BB73,AC97&lt;&gt;¨N/A¨))</xm:f>
            <x14:dxf>
              <fill>
                <patternFill>
                  <bgColor theme="1" tint="0.499984740745262"/>
                </patternFill>
              </fill>
            </x14:dxf>
          </x14:cfRule>
          <x14:cfRule type="expression" priority="37747" stopIfTrue="1" id="{9B4ACB93-8A5C-45BB-B3D4-3969B0A634E6}">
            <xm:f>AND(IF(AC97='Plan de Accion 2018'!BB73,AC97&lt;&gt;"N/A"))</xm:f>
            <x14:dxf>
              <fill>
                <patternFill>
                  <bgColor rgb="FF00B050"/>
                </patternFill>
              </fill>
            </x14:dxf>
          </x14:cfRule>
          <x14:cfRule type="expression" priority="37748" stopIfTrue="1" id="{1ED4C1D7-BA09-43C1-8B94-5AB7D5EE5FE3}">
            <xm:f>AND(IF(AC97&lt;'Plan de Accion 2018'!BB73,AC97&lt;&gt;"N/A"))</xm:f>
            <x14:dxf>
              <fill>
                <patternFill>
                  <bgColor indexed="10"/>
                </patternFill>
              </fill>
            </x14:dxf>
          </x14:cfRule>
          <xm:sqref>AC97</xm:sqref>
        </x14:conditionalFormatting>
        <x14:conditionalFormatting xmlns:xm="http://schemas.microsoft.com/office/excel/2006/main">
          <x14:cfRule type="expression" priority="37749" id="{AE741588-269F-492F-BC96-7B6018A3FD30}">
            <xm:f>AND(IF(AC116&gt;'Plan de Accion 2018'!BB10,AC116&lt;&gt;¨N/A¨))</xm:f>
            <x14:dxf>
              <fill>
                <patternFill>
                  <bgColor theme="1" tint="0.499984740745262"/>
                </patternFill>
              </fill>
            </x14:dxf>
          </x14:cfRule>
          <x14:cfRule type="expression" priority="37750" stopIfTrue="1" id="{4394C028-0DEE-4E4C-9BB6-53BC56D7E3A0}">
            <xm:f>AND(IF(AC116='Plan de Accion 2018'!BB10,AC116&lt;&gt;"N/A"))</xm:f>
            <x14:dxf>
              <fill>
                <patternFill>
                  <bgColor rgb="FF00B050"/>
                </patternFill>
              </fill>
            </x14:dxf>
          </x14:cfRule>
          <x14:cfRule type="expression" priority="37751" stopIfTrue="1" id="{8C73DCC2-7536-480F-A917-A4B6AD64037D}">
            <xm:f>AND(IF(AC116&lt;'Plan de Accion 2018'!BB10,AC116&lt;&gt;"N/A"))</xm:f>
            <x14:dxf>
              <fill>
                <patternFill>
                  <bgColor indexed="10"/>
                </patternFill>
              </fill>
            </x14:dxf>
          </x14:cfRule>
          <xm:sqref>AC116</xm:sqref>
        </x14:conditionalFormatting>
        <x14:conditionalFormatting xmlns:xm="http://schemas.microsoft.com/office/excel/2006/main">
          <x14:cfRule type="expression" priority="37998" id="{A6DF7ACB-77E0-4FC0-B861-75BFF70950A8}">
            <xm:f>AND(IF(V114&gt;'Plan de Accion 2018'!AR108,V114&lt;&gt;¨N/A¨))</xm:f>
            <x14:dxf>
              <fill>
                <patternFill>
                  <bgColor theme="1" tint="0.499984740745262"/>
                </patternFill>
              </fill>
            </x14:dxf>
          </x14:cfRule>
          <x14:cfRule type="expression" priority="37999" stopIfTrue="1" id="{CE69D42C-5663-4167-8920-A5DEF16A6A84}">
            <xm:f>AND(IF(V114='Plan de Accion 2018'!AR108,V114&lt;&gt;"N/A"))</xm:f>
            <x14:dxf>
              <fill>
                <patternFill>
                  <bgColor rgb="FF00B050"/>
                </patternFill>
              </fill>
            </x14:dxf>
          </x14:cfRule>
          <x14:cfRule type="expression" priority="38000" stopIfTrue="1" id="{D11D42F9-F014-40AE-A2ED-5379C27D562C}">
            <xm:f>AND(IF(V114&lt;'Plan de Accion 2018'!AR108,V114&lt;&gt;"N/A"))</xm:f>
            <x14:dxf>
              <fill>
                <patternFill>
                  <bgColor indexed="10"/>
                </patternFill>
              </fill>
            </x14:dxf>
          </x14:cfRule>
          <xm:sqref>V114</xm:sqref>
        </x14:conditionalFormatting>
        <x14:conditionalFormatting xmlns:xm="http://schemas.microsoft.com/office/excel/2006/main">
          <x14:cfRule type="expression" priority="39093" id="{3F097174-46F5-49A9-9A2F-56D977F79B80}">
            <xm:f>AND(IF(H124&gt;'Plan de Accion 2018'!X48,H124&lt;&gt;¨N/A¨))</xm:f>
            <x14:dxf>
              <fill>
                <patternFill>
                  <bgColor theme="1" tint="0.499984740745262"/>
                </patternFill>
              </fill>
            </x14:dxf>
          </x14:cfRule>
          <x14:cfRule type="expression" priority="39094" stopIfTrue="1" id="{6AB1EBAD-47AB-46EF-BFC9-023E4C249536}">
            <xm:f>AND(IF(H124='Plan de Accion 2018'!X48,H124&lt;&gt;"N/A"))</xm:f>
            <x14:dxf>
              <fill>
                <patternFill>
                  <bgColor rgb="FF00B050"/>
                </patternFill>
              </fill>
            </x14:dxf>
          </x14:cfRule>
          <x14:cfRule type="expression" priority="39095" stopIfTrue="1" id="{7537C9B6-6D2B-493F-A2DA-15B8B27AEF45}">
            <xm:f>AND(IF(H124&lt;'Plan de Accion 2018'!X48,H124&lt;&gt;"N/A"))</xm:f>
            <x14:dxf>
              <fill>
                <patternFill>
                  <bgColor indexed="10"/>
                </patternFill>
              </fill>
            </x14:dxf>
          </x14:cfRule>
          <xm:sqref>H124:H138</xm:sqref>
        </x14:conditionalFormatting>
        <x14:conditionalFormatting xmlns:xm="http://schemas.microsoft.com/office/excel/2006/main">
          <x14:cfRule type="expression" priority="39096" id="{7E161275-247C-4DB8-BD6A-E08C157FD714}">
            <xm:f>AND(IF(O126&gt;'Plan de Accion 2018'!AH50,O126&lt;&gt;¨N/A¨))</xm:f>
            <x14:dxf>
              <fill>
                <patternFill>
                  <bgColor theme="1" tint="0.499984740745262"/>
                </patternFill>
              </fill>
            </x14:dxf>
          </x14:cfRule>
          <x14:cfRule type="expression" priority="39097" stopIfTrue="1" id="{6A7F13AD-306E-4D00-A2CC-AA0F8C12D183}">
            <xm:f>AND(IF(O126='Plan de Accion 2018'!AH50,O126&lt;&gt;"N/A"))</xm:f>
            <x14:dxf>
              <fill>
                <patternFill>
                  <bgColor rgb="FF00B050"/>
                </patternFill>
              </fill>
            </x14:dxf>
          </x14:cfRule>
          <x14:cfRule type="expression" priority="39098" stopIfTrue="1" id="{4B452FC1-90BB-4624-A6F2-FE094EB34D6B}">
            <xm:f>AND(IF(O126&lt;'Plan de Accion 2018'!AH50,O126&lt;&gt;"N/A"))</xm:f>
            <x14:dxf>
              <fill>
                <patternFill>
                  <bgColor indexed="10"/>
                </patternFill>
              </fill>
            </x14:dxf>
          </x14:cfRule>
          <xm:sqref>O126:O138</xm:sqref>
        </x14:conditionalFormatting>
        <x14:conditionalFormatting xmlns:xm="http://schemas.microsoft.com/office/excel/2006/main">
          <x14:cfRule type="expression" priority="39099" id="{D738C595-0AB1-410B-A82F-B93BCE90122F}">
            <xm:f>AND(IF(AC124&gt;'Plan de Accion 2018'!BB48,AC124&lt;&gt;¨N/A¨))</xm:f>
            <x14:dxf>
              <fill>
                <patternFill>
                  <bgColor theme="1" tint="0.499984740745262"/>
                </patternFill>
              </fill>
            </x14:dxf>
          </x14:cfRule>
          <x14:cfRule type="expression" priority="39100" stopIfTrue="1" id="{8B858AC2-8231-453C-A5E2-30898E1005DB}">
            <xm:f>AND(IF(AC124='Plan de Accion 2018'!BB48,AC124&lt;&gt;"N/A"))</xm:f>
            <x14:dxf>
              <fill>
                <patternFill>
                  <bgColor rgb="FF00B050"/>
                </patternFill>
              </fill>
            </x14:dxf>
          </x14:cfRule>
          <x14:cfRule type="expression" priority="39101" stopIfTrue="1" id="{E92F9A76-B53A-40C2-9813-3DB56118F4F4}">
            <xm:f>AND(IF(AC124&lt;'Plan de Accion 2018'!BB48,AC124&lt;&gt;"N/A"))</xm:f>
            <x14:dxf>
              <fill>
                <patternFill>
                  <bgColor indexed="10"/>
                </patternFill>
              </fill>
            </x14:dxf>
          </x14:cfRule>
          <xm:sqref>AC124:AC138</xm:sqref>
        </x14:conditionalFormatting>
        <x14:conditionalFormatting xmlns:xm="http://schemas.microsoft.com/office/excel/2006/main">
          <x14:cfRule type="expression" priority="39243" id="{FDA5AB1A-DB98-41C2-87E0-8D72C86634AF}">
            <xm:f>AND(IF(H102&gt;'Plan de Accion 2018'!X63,H102&lt;&gt;¨N/A¨))</xm:f>
            <x14:dxf>
              <fill>
                <patternFill>
                  <bgColor theme="1" tint="0.499984740745262"/>
                </patternFill>
              </fill>
            </x14:dxf>
          </x14:cfRule>
          <x14:cfRule type="expression" priority="39244" stopIfTrue="1" id="{0A8C9F66-D696-47A0-A91D-2F189DF17606}">
            <xm:f>AND(IF(H102='Plan de Accion 2018'!X63,H102&lt;&gt;"N/A"))</xm:f>
            <x14:dxf>
              <fill>
                <patternFill>
                  <bgColor rgb="FF00B050"/>
                </patternFill>
              </fill>
            </x14:dxf>
          </x14:cfRule>
          <x14:cfRule type="expression" priority="39245" stopIfTrue="1" id="{3CC12296-6133-4121-9663-3F2BBF4DE5D2}">
            <xm:f>AND(IF(H102&lt;'Plan de Accion 2018'!X63,H102&lt;&gt;"N/A"))</xm:f>
            <x14:dxf>
              <fill>
                <patternFill>
                  <bgColor indexed="10"/>
                </patternFill>
              </fill>
            </x14:dxf>
          </x14:cfRule>
          <xm:sqref>H102:H103</xm:sqref>
        </x14:conditionalFormatting>
        <x14:conditionalFormatting xmlns:xm="http://schemas.microsoft.com/office/excel/2006/main">
          <x14:cfRule type="expression" priority="39252" id="{3677E030-971B-4EB5-9249-DD78ECB0C2C9}">
            <xm:f>AND(IF(AC115&gt;'Plan de Accion 2018'!AJ112,AC115&lt;&gt;¨N/A¨))</xm:f>
            <x14:dxf>
              <fill>
                <patternFill>
                  <bgColor theme="1" tint="0.499984740745262"/>
                </patternFill>
              </fill>
            </x14:dxf>
          </x14:cfRule>
          <x14:cfRule type="expression" priority="39253" stopIfTrue="1" id="{23294E12-C57C-4EF7-BA1C-9721281A7C37}">
            <xm:f>AND(IF(AC115='Plan de Accion 2018'!AJ112,AC115&lt;&gt;"N/A"))</xm:f>
            <x14:dxf>
              <fill>
                <patternFill>
                  <bgColor rgb="FF00B050"/>
                </patternFill>
              </fill>
            </x14:dxf>
          </x14:cfRule>
          <x14:cfRule type="expression" priority="39254" stopIfTrue="1" id="{95985CD9-9707-4D6D-A718-A455A16E9E36}">
            <xm:f>AND(IF(AC115&lt;'Plan de Accion 2018'!AJ112,AC115&lt;&gt;"N/A"))</xm:f>
            <x14:dxf>
              <fill>
                <patternFill>
                  <bgColor indexed="10"/>
                </patternFill>
              </fill>
            </x14:dxf>
          </x14:cfRule>
          <xm:sqref>AC115</xm:sqref>
        </x14:conditionalFormatting>
        <x14:conditionalFormatting xmlns:xm="http://schemas.microsoft.com/office/excel/2006/main">
          <x14:cfRule type="expression" priority="39258" id="{198CFA15-456B-402B-957E-336E4FCAE566}">
            <xm:f>AND(IF(H64&gt;'Plan de Accion 2018'!X42,H64&lt;&gt;¨N/A¨))</xm:f>
            <x14:dxf>
              <fill>
                <patternFill>
                  <bgColor theme="1" tint="0.499984740745262"/>
                </patternFill>
              </fill>
            </x14:dxf>
          </x14:cfRule>
          <x14:cfRule type="expression" priority="39259" stopIfTrue="1" id="{08BF8517-64CB-47CE-859A-15218208A6D4}">
            <xm:f>AND(IF(H64='Plan de Accion 2018'!X42,H64&lt;&gt;"N/A"))</xm:f>
            <x14:dxf>
              <fill>
                <patternFill>
                  <bgColor rgb="FF00B050"/>
                </patternFill>
              </fill>
            </x14:dxf>
          </x14:cfRule>
          <x14:cfRule type="expression" priority="39260" stopIfTrue="1" id="{3315B617-F03F-4F4B-B8FA-E23BB2B7E8FD}">
            <xm:f>AND(IF(H64&lt;'Plan de Accion 2018'!X42,H64&lt;&gt;"N/A"))</xm:f>
            <x14:dxf>
              <fill>
                <patternFill>
                  <bgColor indexed="10"/>
                </patternFill>
              </fill>
            </x14:dxf>
          </x14:cfRule>
          <xm:sqref>H64</xm:sqref>
        </x14:conditionalFormatting>
        <x14:conditionalFormatting xmlns:xm="http://schemas.microsoft.com/office/excel/2006/main">
          <x14:cfRule type="expression" priority="39261" id="{1D929EC8-F9DF-49AF-9C13-9A5E16DFD238}">
            <xm:f>AND(IF(H61&gt;'Plan de Accion 2018'!X40,H61&lt;&gt;¨N/A¨))</xm:f>
            <x14:dxf>
              <fill>
                <patternFill>
                  <bgColor theme="1" tint="0.499984740745262"/>
                </patternFill>
              </fill>
            </x14:dxf>
          </x14:cfRule>
          <x14:cfRule type="expression" priority="39262" stopIfTrue="1" id="{182BC988-84B7-455E-B687-E26B6540210A}">
            <xm:f>AND(IF(H61='Plan de Accion 2018'!X40,H61&lt;&gt;"N/A"))</xm:f>
            <x14:dxf>
              <fill>
                <patternFill>
                  <bgColor rgb="FF00B050"/>
                </patternFill>
              </fill>
            </x14:dxf>
          </x14:cfRule>
          <x14:cfRule type="expression" priority="39263" stopIfTrue="1" id="{FFE27CDF-D07F-48C5-A518-51586D4CFE6B}">
            <xm:f>AND(IF(H61&lt;'Plan de Accion 2018'!X40,H61&lt;&gt;"N/A"))</xm:f>
            <x14:dxf>
              <fill>
                <patternFill>
                  <bgColor indexed="10"/>
                </patternFill>
              </fill>
            </x14:dxf>
          </x14:cfRule>
          <xm:sqref>H61:H63</xm:sqref>
        </x14:conditionalFormatting>
        <x14:conditionalFormatting xmlns:xm="http://schemas.microsoft.com/office/excel/2006/main">
          <x14:cfRule type="expression" priority="39351" id="{6FE6F1DC-5B60-4FFC-A32B-4AC03BB0B437}">
            <xm:f>AND(IF(O102&gt;'Plan de Accion 2018'!AH63,O102&lt;&gt;¨N/A¨))</xm:f>
            <x14:dxf>
              <fill>
                <patternFill>
                  <bgColor theme="1" tint="0.499984740745262"/>
                </patternFill>
              </fill>
            </x14:dxf>
          </x14:cfRule>
          <x14:cfRule type="expression" priority="39352" stopIfTrue="1" id="{5EF8E481-CD7A-448E-806A-B5EC9462C4C4}">
            <xm:f>AND(IF(O102='Plan de Accion 2018'!AH63,O102&lt;&gt;"N/A"))</xm:f>
            <x14:dxf>
              <fill>
                <patternFill>
                  <bgColor rgb="FF00B050"/>
                </patternFill>
              </fill>
            </x14:dxf>
          </x14:cfRule>
          <x14:cfRule type="expression" priority="39353" stopIfTrue="1" id="{20FD009A-300D-4A6E-A765-364B863A31E9}">
            <xm:f>AND(IF(O102&lt;'Plan de Accion 2018'!AH63,O102&lt;&gt;"N/A"))</xm:f>
            <x14:dxf>
              <fill>
                <patternFill>
                  <bgColor indexed="10"/>
                </patternFill>
              </fill>
            </x14:dxf>
          </x14:cfRule>
          <xm:sqref>O102:O103</xm:sqref>
        </x14:conditionalFormatting>
        <x14:conditionalFormatting xmlns:xm="http://schemas.microsoft.com/office/excel/2006/main">
          <x14:cfRule type="expression" priority="39360" id="{D81A256F-07D6-41D6-A6CF-2DB403C83800}">
            <xm:f>AND(IF(O113&gt;'Plan de Accion 2018'!AH110,O113&lt;&gt;¨N/A¨))</xm:f>
            <x14:dxf>
              <fill>
                <patternFill>
                  <bgColor theme="1" tint="0.499984740745262"/>
                </patternFill>
              </fill>
            </x14:dxf>
          </x14:cfRule>
          <x14:cfRule type="expression" priority="39361" stopIfTrue="1" id="{EC937E20-DBB1-4CBB-9A30-076465B8F453}">
            <xm:f>AND(IF(O113='Plan de Accion 2018'!AH110,O113&lt;&gt;"N/A"))</xm:f>
            <x14:dxf>
              <fill>
                <patternFill>
                  <bgColor rgb="FF00B050"/>
                </patternFill>
              </fill>
            </x14:dxf>
          </x14:cfRule>
          <x14:cfRule type="expression" priority="39362" stopIfTrue="1" id="{629F9F1D-47FA-4D81-9B89-4F91DE976D06}">
            <xm:f>AND(IF(O113&lt;'Plan de Accion 2018'!AH110,O113&lt;&gt;"N/A"))</xm:f>
            <x14:dxf>
              <fill>
                <patternFill>
                  <bgColor indexed="10"/>
                </patternFill>
              </fill>
            </x14:dxf>
          </x14:cfRule>
          <xm:sqref>O113:O114</xm:sqref>
        </x14:conditionalFormatting>
        <x14:conditionalFormatting xmlns:xm="http://schemas.microsoft.com/office/excel/2006/main">
          <x14:cfRule type="expression" priority="39366" id="{37341CEB-788A-42E9-B0A6-840E87374D72}">
            <xm:f>AND(IF(O64&gt;'Plan de Accion 2018'!AH42,O64&lt;&gt;¨N/A¨))</xm:f>
            <x14:dxf>
              <fill>
                <patternFill>
                  <bgColor theme="1" tint="0.499984740745262"/>
                </patternFill>
              </fill>
            </x14:dxf>
          </x14:cfRule>
          <x14:cfRule type="expression" priority="39367" stopIfTrue="1" id="{53F7CBE0-D564-4055-92EE-0E4404225001}">
            <xm:f>AND(IF(O64='Plan de Accion 2018'!AH42,O64&lt;&gt;"N/A"))</xm:f>
            <x14:dxf>
              <fill>
                <patternFill>
                  <bgColor rgb="FF00B050"/>
                </patternFill>
              </fill>
            </x14:dxf>
          </x14:cfRule>
          <x14:cfRule type="expression" priority="39368" stopIfTrue="1" id="{15524A94-0D43-433A-B1DF-22CF36BB057E}">
            <xm:f>AND(IF(O64&lt;'Plan de Accion 2018'!AH42,O64&lt;&gt;"N/A"))</xm:f>
            <x14:dxf>
              <fill>
                <patternFill>
                  <bgColor indexed="10"/>
                </patternFill>
              </fill>
            </x14:dxf>
          </x14:cfRule>
          <xm:sqref>O64</xm:sqref>
        </x14:conditionalFormatting>
        <x14:conditionalFormatting xmlns:xm="http://schemas.microsoft.com/office/excel/2006/main">
          <x14:cfRule type="expression" priority="39369" id="{68447B59-877A-404D-B0AE-6151A52F064E}">
            <xm:f>AND(IF(O61&gt;'Plan de Accion 2018'!AH40,O61&lt;&gt;¨N/A¨))</xm:f>
            <x14:dxf>
              <fill>
                <patternFill>
                  <bgColor theme="1" tint="0.499984740745262"/>
                </patternFill>
              </fill>
            </x14:dxf>
          </x14:cfRule>
          <x14:cfRule type="expression" priority="39370" stopIfTrue="1" id="{86D1D90E-1DA7-4627-AF54-12442DEC13E0}">
            <xm:f>AND(IF(O61='Plan de Accion 2018'!AH40,O61&lt;&gt;"N/A"))</xm:f>
            <x14:dxf>
              <fill>
                <patternFill>
                  <bgColor rgb="FF00B050"/>
                </patternFill>
              </fill>
            </x14:dxf>
          </x14:cfRule>
          <x14:cfRule type="expression" priority="39371" stopIfTrue="1" id="{A80BE1DC-0B93-4799-B9BC-F5F13F898DEA}">
            <xm:f>AND(IF(O61&lt;'Plan de Accion 2018'!AH40,O61&lt;&gt;"N/A"))</xm:f>
            <x14:dxf>
              <fill>
                <patternFill>
                  <bgColor indexed="10"/>
                </patternFill>
              </fill>
            </x14:dxf>
          </x14:cfRule>
          <xm:sqref>O61:O63</xm:sqref>
        </x14:conditionalFormatting>
        <x14:conditionalFormatting xmlns:xm="http://schemas.microsoft.com/office/excel/2006/main">
          <x14:cfRule type="expression" priority="39435" id="{783911D8-9EF2-4D5A-885F-0DDF05A50B67}">
            <xm:f>AND(IF(V102&gt;'Plan de Accion 2018'!AR63,V102&lt;&gt;¨N/A¨))</xm:f>
            <x14:dxf>
              <fill>
                <patternFill>
                  <bgColor theme="1" tint="0.499984740745262"/>
                </patternFill>
              </fill>
            </x14:dxf>
          </x14:cfRule>
          <x14:cfRule type="expression" priority="39436" stopIfTrue="1" id="{43523738-6B31-4AE3-9245-DB653413721F}">
            <xm:f>AND(IF(V102='Plan de Accion 2018'!AR63,V102&lt;&gt;"N/A"))</xm:f>
            <x14:dxf>
              <fill>
                <patternFill>
                  <bgColor rgb="FF00B050"/>
                </patternFill>
              </fill>
            </x14:dxf>
          </x14:cfRule>
          <x14:cfRule type="expression" priority="39437" stopIfTrue="1" id="{B4054167-7606-4444-A94E-20AA063E3A15}">
            <xm:f>AND(IF(V102&lt;'Plan de Accion 2018'!AR63,V102&lt;&gt;"N/A"))</xm:f>
            <x14:dxf>
              <fill>
                <patternFill>
                  <bgColor indexed="10"/>
                </patternFill>
              </fill>
            </x14:dxf>
          </x14:cfRule>
          <xm:sqref>V102:V103</xm:sqref>
        </x14:conditionalFormatting>
        <x14:conditionalFormatting xmlns:xm="http://schemas.microsoft.com/office/excel/2006/main">
          <x14:cfRule type="expression" priority="39444" id="{A6DF7ACB-77E0-4FC0-B861-75BFF70950A8}">
            <xm:f>AND(IF(V113&gt;'Plan de Accion 2018'!AR110,V113&lt;&gt;¨N/A¨))</xm:f>
            <x14:dxf>
              <fill>
                <patternFill>
                  <bgColor theme="1" tint="0.499984740745262"/>
                </patternFill>
              </fill>
            </x14:dxf>
          </x14:cfRule>
          <x14:cfRule type="expression" priority="39445" stopIfTrue="1" id="{CE69D42C-5663-4167-8920-A5DEF16A6A84}">
            <xm:f>AND(IF(V113='Plan de Accion 2018'!AR110,V113&lt;&gt;"N/A"))</xm:f>
            <x14:dxf>
              <fill>
                <patternFill>
                  <bgColor rgb="FF00B050"/>
                </patternFill>
              </fill>
            </x14:dxf>
          </x14:cfRule>
          <x14:cfRule type="expression" priority="39446" stopIfTrue="1" id="{D11D42F9-F014-40AE-A2ED-5379C27D562C}">
            <xm:f>AND(IF(V113&lt;'Plan de Accion 2018'!AR110,V113&lt;&gt;"N/A"))</xm:f>
            <x14:dxf>
              <fill>
                <patternFill>
                  <bgColor indexed="10"/>
                </patternFill>
              </fill>
            </x14:dxf>
          </x14:cfRule>
          <xm:sqref>V113</xm:sqref>
        </x14:conditionalFormatting>
        <x14:conditionalFormatting xmlns:xm="http://schemas.microsoft.com/office/excel/2006/main">
          <x14:cfRule type="expression" priority="39447" id="{747A0A57-DFCE-443B-9B57-650BDDBCF14B}">
            <xm:f>AND(IF(V64&gt;'Plan de Accion 2018'!AR42,V64&lt;&gt;¨N/A¨))</xm:f>
            <x14:dxf>
              <fill>
                <patternFill>
                  <bgColor theme="1" tint="0.499984740745262"/>
                </patternFill>
              </fill>
            </x14:dxf>
          </x14:cfRule>
          <x14:cfRule type="expression" priority="39448" stopIfTrue="1" id="{01E1F1EF-8B53-4381-8E72-635E59F650E3}">
            <xm:f>AND(IF(V64='Plan de Accion 2018'!AR42,V64&lt;&gt;"N/A"))</xm:f>
            <x14:dxf>
              <fill>
                <patternFill>
                  <bgColor rgb="FF00B050"/>
                </patternFill>
              </fill>
            </x14:dxf>
          </x14:cfRule>
          <x14:cfRule type="expression" priority="39449" stopIfTrue="1" id="{89AF6C20-31B2-4568-9618-4C819F02A339}">
            <xm:f>AND(IF(V64&lt;'Plan de Accion 2018'!AR42,V64&lt;&gt;"N/A"))</xm:f>
            <x14:dxf>
              <fill>
                <patternFill>
                  <bgColor indexed="10"/>
                </patternFill>
              </fill>
            </x14:dxf>
          </x14:cfRule>
          <xm:sqref>V64</xm:sqref>
        </x14:conditionalFormatting>
        <x14:conditionalFormatting xmlns:xm="http://schemas.microsoft.com/office/excel/2006/main">
          <x14:cfRule type="expression" priority="39450" id="{20FD569D-676D-457E-8814-F3226C6D75A1}">
            <xm:f>AND(IF(V61&gt;'Plan de Accion 2018'!AR40,V61&lt;&gt;¨N/A¨))</xm:f>
            <x14:dxf>
              <fill>
                <patternFill>
                  <bgColor theme="1" tint="0.499984740745262"/>
                </patternFill>
              </fill>
            </x14:dxf>
          </x14:cfRule>
          <x14:cfRule type="expression" priority="39451" stopIfTrue="1" id="{39189770-CF5A-4E54-B2E9-BAB9DA82A94C}">
            <xm:f>AND(IF(V61='Plan de Accion 2018'!AR40,V61&lt;&gt;"N/A"))</xm:f>
            <x14:dxf>
              <fill>
                <patternFill>
                  <bgColor rgb="FF00B050"/>
                </patternFill>
              </fill>
            </x14:dxf>
          </x14:cfRule>
          <x14:cfRule type="expression" priority="39452" stopIfTrue="1" id="{3CB8A752-16A7-46D3-A91D-2F0FF96CB602}">
            <xm:f>AND(IF(V61&lt;'Plan de Accion 2018'!AR40,V61&lt;&gt;"N/A"))</xm:f>
            <x14:dxf>
              <fill>
                <patternFill>
                  <bgColor indexed="10"/>
                </patternFill>
              </fill>
            </x14:dxf>
          </x14:cfRule>
          <xm:sqref>V61:V63</xm:sqref>
        </x14:conditionalFormatting>
        <x14:conditionalFormatting xmlns:xm="http://schemas.microsoft.com/office/excel/2006/main">
          <x14:cfRule type="expression" priority="39519" id="{0DE65955-29D3-467E-9D7E-461E0D1F6796}">
            <xm:f>AND(IF(AC102&gt;'Plan de Accion 2018'!BB63,AC102&lt;&gt;¨N/A¨))</xm:f>
            <x14:dxf>
              <fill>
                <patternFill>
                  <bgColor theme="1" tint="0.499984740745262"/>
                </patternFill>
              </fill>
            </x14:dxf>
          </x14:cfRule>
          <x14:cfRule type="expression" priority="39520" stopIfTrue="1" id="{8591A951-24EA-452A-9E87-65F197BFDAAB}">
            <xm:f>AND(IF(AC102='Plan de Accion 2018'!BB63,AC102&lt;&gt;"N/A"))</xm:f>
            <x14:dxf>
              <fill>
                <patternFill>
                  <bgColor rgb="FF00B050"/>
                </patternFill>
              </fill>
            </x14:dxf>
          </x14:cfRule>
          <x14:cfRule type="expression" priority="39521" stopIfTrue="1" id="{7A9B458C-E1E5-488A-8D6D-C27A5A025779}">
            <xm:f>AND(IF(AC102&lt;'Plan de Accion 2018'!BB63,AC102&lt;&gt;"N/A"))</xm:f>
            <x14:dxf>
              <fill>
                <patternFill>
                  <bgColor indexed="10"/>
                </patternFill>
              </fill>
            </x14:dxf>
          </x14:cfRule>
          <xm:sqref>AC102:AC103</xm:sqref>
        </x14:conditionalFormatting>
        <x14:conditionalFormatting xmlns:xm="http://schemas.microsoft.com/office/excel/2006/main">
          <x14:cfRule type="expression" priority="39528" id="{9F41F7FF-FB81-46DF-A8B3-BA07A5D3D91B}">
            <xm:f>AND(IF(AC113&gt;'Plan de Accion 2018'!BB110,AC113&lt;&gt;¨N/A¨))</xm:f>
            <x14:dxf>
              <fill>
                <patternFill>
                  <bgColor theme="1" tint="0.499984740745262"/>
                </patternFill>
              </fill>
            </x14:dxf>
          </x14:cfRule>
          <x14:cfRule type="expression" priority="39529" stopIfTrue="1" id="{94A4C78C-DC3F-4E02-82E0-A4E767E81879}">
            <xm:f>AND(IF(AC113='Plan de Accion 2018'!BB110,AC113&lt;&gt;"N/A"))</xm:f>
            <x14:dxf>
              <fill>
                <patternFill>
                  <bgColor rgb="FF00B050"/>
                </patternFill>
              </fill>
            </x14:dxf>
          </x14:cfRule>
          <x14:cfRule type="expression" priority="39530" stopIfTrue="1" id="{0961B44B-355A-4105-BC91-4038A68F9E0E}">
            <xm:f>AND(IF(AC113&lt;'Plan de Accion 2018'!BB110,AC113&lt;&gt;"N/A"))</xm:f>
            <x14:dxf>
              <fill>
                <patternFill>
                  <bgColor indexed="10"/>
                </patternFill>
              </fill>
            </x14:dxf>
          </x14:cfRule>
          <xm:sqref>AC113:AC114</xm:sqref>
        </x14:conditionalFormatting>
        <x14:conditionalFormatting xmlns:xm="http://schemas.microsoft.com/office/excel/2006/main">
          <x14:cfRule type="expression" priority="39534" id="{2E284A69-B7BF-49BF-A941-5FD010AA5E02}">
            <xm:f>AND(IF(AC64&gt;'Plan de Accion 2018'!BB42,AC64&lt;&gt;¨N/A¨))</xm:f>
            <x14:dxf>
              <fill>
                <patternFill>
                  <bgColor theme="1" tint="0.499984740745262"/>
                </patternFill>
              </fill>
            </x14:dxf>
          </x14:cfRule>
          <x14:cfRule type="expression" priority="39535" stopIfTrue="1" id="{115E902F-2E27-4385-8A32-992FC00EC1A1}">
            <xm:f>AND(IF(AC64='Plan de Accion 2018'!BB42,AC64&lt;&gt;"N/A"))</xm:f>
            <x14:dxf>
              <fill>
                <patternFill>
                  <bgColor rgb="FF00B050"/>
                </patternFill>
              </fill>
            </x14:dxf>
          </x14:cfRule>
          <x14:cfRule type="expression" priority="39536" stopIfTrue="1" id="{0BE7342E-6A32-49AC-BE43-56C38193D1E5}">
            <xm:f>AND(IF(AC64&lt;'Plan de Accion 2018'!BB42,AC64&lt;&gt;"N/A"))</xm:f>
            <x14:dxf>
              <fill>
                <patternFill>
                  <bgColor indexed="10"/>
                </patternFill>
              </fill>
            </x14:dxf>
          </x14:cfRule>
          <xm:sqref>AC64</xm:sqref>
        </x14:conditionalFormatting>
        <x14:conditionalFormatting xmlns:xm="http://schemas.microsoft.com/office/excel/2006/main">
          <x14:cfRule type="expression" priority="39537" id="{C8BC9AD3-5E42-4012-9028-A686F27317F4}">
            <xm:f>AND(IF(AC61&gt;'Plan de Accion 2018'!BB40,AC61&lt;&gt;¨N/A¨))</xm:f>
            <x14:dxf>
              <fill>
                <patternFill>
                  <bgColor theme="1" tint="0.499984740745262"/>
                </patternFill>
              </fill>
            </x14:dxf>
          </x14:cfRule>
          <x14:cfRule type="expression" priority="39538" stopIfTrue="1" id="{38851E1B-BFFB-4141-91E6-687AC0D491F1}">
            <xm:f>AND(IF(AC61='Plan de Accion 2018'!BB40,AC61&lt;&gt;"N/A"))</xm:f>
            <x14:dxf>
              <fill>
                <patternFill>
                  <bgColor rgb="FF00B050"/>
                </patternFill>
              </fill>
            </x14:dxf>
          </x14:cfRule>
          <x14:cfRule type="expression" priority="39539" stopIfTrue="1" id="{9DB65B02-FB47-41DA-A360-4E11A5FB8964}">
            <xm:f>AND(IF(AC61&lt;'Plan de Accion 2018'!BB40,AC61&lt;&gt;"N/A"))</xm:f>
            <x14:dxf>
              <fill>
                <patternFill>
                  <bgColor indexed="10"/>
                </patternFill>
              </fill>
            </x14:dxf>
          </x14:cfRule>
          <xm:sqref>AC61:AC63</xm:sqref>
        </x14:conditionalFormatting>
        <x14:conditionalFormatting xmlns:xm="http://schemas.microsoft.com/office/excel/2006/main">
          <x14:cfRule type="expression" priority="40368" id="{3677E030-971B-4EB5-9249-DD78ECB0C2C9}">
            <xm:f>AND(IF(O115&gt;'Plan de Accion 2018'!AB112,O115&lt;&gt;¨N/A¨))</xm:f>
            <x14:dxf>
              <fill>
                <patternFill>
                  <bgColor theme="1" tint="0.499984740745262"/>
                </patternFill>
              </fill>
            </x14:dxf>
          </x14:cfRule>
          <x14:cfRule type="expression" priority="40369" stopIfTrue="1" id="{23294E12-C57C-4EF7-BA1C-9721281A7C37}">
            <xm:f>AND(IF(O115='Plan de Accion 2018'!AB112,O115&lt;&gt;"N/A"))</xm:f>
            <x14:dxf>
              <fill>
                <patternFill>
                  <bgColor rgb="FF00B050"/>
                </patternFill>
              </fill>
            </x14:dxf>
          </x14:cfRule>
          <x14:cfRule type="expression" priority="40370" stopIfTrue="1" id="{95985CD9-9707-4D6D-A718-A455A16E9E36}">
            <xm:f>AND(IF(O115&lt;'Plan de Accion 2018'!AB112,O115&lt;&gt;"N/A"))</xm:f>
            <x14:dxf>
              <fill>
                <patternFill>
                  <bgColor indexed="10"/>
                </patternFill>
              </fill>
            </x14:dxf>
          </x14:cfRule>
          <xm:sqref>O115</xm:sqref>
        </x14:conditionalFormatting>
        <x14:conditionalFormatting xmlns:xm="http://schemas.microsoft.com/office/excel/2006/main">
          <x14:cfRule type="expression" priority="41100" id="{3677E030-971B-4EB5-9249-DD78ECB0C2C9}">
            <xm:f>AND(IF(V115&gt;'Plan de Accion 2018'!AF112,V115&lt;&gt;¨N/A¨))</xm:f>
            <x14:dxf>
              <fill>
                <patternFill>
                  <bgColor theme="1" tint="0.499984740745262"/>
                </patternFill>
              </fill>
            </x14:dxf>
          </x14:cfRule>
          <x14:cfRule type="expression" priority="41101" stopIfTrue="1" id="{23294E12-C57C-4EF7-BA1C-9721281A7C37}">
            <xm:f>AND(IF(V115='Plan de Accion 2018'!AF112,V115&lt;&gt;"N/A"))</xm:f>
            <x14:dxf>
              <fill>
                <patternFill>
                  <bgColor rgb="FF00B050"/>
                </patternFill>
              </fill>
            </x14:dxf>
          </x14:cfRule>
          <x14:cfRule type="expression" priority="41102" stopIfTrue="1" id="{95985CD9-9707-4D6D-A718-A455A16E9E36}">
            <xm:f>AND(IF(V115&lt;'Plan de Accion 2018'!AF112,V115&lt;&gt;"N/A"))</xm:f>
            <x14:dxf>
              <fill>
                <patternFill>
                  <bgColor indexed="10"/>
                </patternFill>
              </fill>
            </x14:dxf>
          </x14:cfRule>
          <xm:sqref>V115</xm:sqref>
        </x14:conditionalFormatting>
        <x14:conditionalFormatting xmlns:xm="http://schemas.microsoft.com/office/excel/2006/main">
          <x14:cfRule type="expression" priority="41418" id="{3677E030-971B-4EB5-9249-DD78ECB0C2C9}">
            <xm:f>AND(IF(H113&gt;'Plan de Accion 2018'!X110,H113&lt;&gt;¨N/A¨))</xm:f>
            <x14:dxf>
              <fill>
                <patternFill>
                  <bgColor theme="1" tint="0.499984740745262"/>
                </patternFill>
              </fill>
            </x14:dxf>
          </x14:cfRule>
          <x14:cfRule type="expression" priority="41419" stopIfTrue="1" id="{23294E12-C57C-4EF7-BA1C-9721281A7C37}">
            <xm:f>AND(IF(H113='Plan de Accion 2018'!X110,H113&lt;&gt;"N/A"))</xm:f>
            <x14:dxf>
              <fill>
                <patternFill>
                  <bgColor rgb="FF00B050"/>
                </patternFill>
              </fill>
            </x14:dxf>
          </x14:cfRule>
          <x14:cfRule type="expression" priority="41420" stopIfTrue="1" id="{95985CD9-9707-4D6D-A718-A455A16E9E36}">
            <xm:f>AND(IF(H113&lt;'Plan de Accion 2018'!X110,H113&lt;&gt;"N/A"))</xm:f>
            <x14:dxf>
              <fill>
                <patternFill>
                  <bgColor indexed="10"/>
                </patternFill>
              </fill>
            </x14:dxf>
          </x14:cfRule>
          <xm:sqref>H113:H116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19"/>
  <sheetViews>
    <sheetView showGridLines="0" workbookViewId="0">
      <selection activeCell="A14" sqref="A14"/>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3.140625" customWidth="1"/>
    <col min="42" max="42" width="21.7109375" customWidth="1"/>
    <col min="43" max="47" width="3.28515625" customWidth="1"/>
    <col min="48" max="48" width="21.7109375" customWidth="1"/>
    <col min="49" max="53" width="3.28515625" customWidth="1"/>
  </cols>
  <sheetData>
    <row r="1" spans="1:57" ht="15" customHeight="1" x14ac:dyDescent="0.25">
      <c r="A1" s="1238"/>
      <c r="B1" s="1230" t="s">
        <v>954</v>
      </c>
      <c r="C1" s="1231"/>
      <c r="D1" s="1231"/>
      <c r="E1" s="1231"/>
      <c r="F1" s="1231"/>
      <c r="G1" s="1231"/>
      <c r="H1" s="1195"/>
      <c r="I1" s="1196" t="s">
        <v>955</v>
      </c>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7"/>
      <c r="AK1" s="1197"/>
      <c r="AL1" s="1197"/>
      <c r="AM1" s="1197"/>
      <c r="AN1" s="1197"/>
      <c r="AO1" s="1197"/>
      <c r="AP1" s="1221"/>
      <c r="AQ1" s="1222"/>
      <c r="AR1" s="1222"/>
      <c r="AS1" s="1222"/>
      <c r="AT1" s="1222"/>
      <c r="AU1" s="1222"/>
      <c r="AV1" s="1222"/>
      <c r="AW1" s="1222"/>
      <c r="AX1" s="1222"/>
      <c r="AY1" s="1222"/>
      <c r="AZ1" s="1222"/>
      <c r="BA1" s="1223"/>
      <c r="BB1" s="446"/>
      <c r="BC1" s="446"/>
      <c r="BD1" s="446"/>
      <c r="BE1" s="446"/>
    </row>
    <row r="2" spans="1:57" ht="15" customHeight="1" x14ac:dyDescent="0.25">
      <c r="A2" s="1239"/>
      <c r="B2" s="1232" t="s">
        <v>956</v>
      </c>
      <c r="C2" s="1233"/>
      <c r="D2" s="1233"/>
      <c r="E2" s="1233"/>
      <c r="F2" s="1233"/>
      <c r="G2" s="1233"/>
      <c r="H2" s="1200"/>
      <c r="I2" s="1201" t="s">
        <v>800</v>
      </c>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2"/>
      <c r="AK2" s="1202"/>
      <c r="AL2" s="1202"/>
      <c r="AM2" s="1202"/>
      <c r="AN2" s="1202"/>
      <c r="AO2" s="1202"/>
      <c r="AP2" s="1224"/>
      <c r="AQ2" s="1225"/>
      <c r="AR2" s="1225"/>
      <c r="AS2" s="1225"/>
      <c r="AT2" s="1225"/>
      <c r="AU2" s="1225"/>
      <c r="AV2" s="1225"/>
      <c r="AW2" s="1225"/>
      <c r="AX2" s="1225"/>
      <c r="AY2" s="1225"/>
      <c r="AZ2" s="1225"/>
      <c r="BA2" s="1226"/>
      <c r="BB2" s="446"/>
      <c r="BC2" s="446"/>
      <c r="BD2" s="446"/>
      <c r="BE2" s="446"/>
    </row>
    <row r="3" spans="1:57" ht="15.75" customHeight="1" thickBot="1" x14ac:dyDescent="0.3">
      <c r="A3" s="1240"/>
      <c r="B3" s="1234" t="s">
        <v>852</v>
      </c>
      <c r="C3" s="1210"/>
      <c r="D3" s="1210"/>
      <c r="E3" s="1210"/>
      <c r="F3" s="1210"/>
      <c r="G3" s="1210"/>
      <c r="H3" s="1205"/>
      <c r="I3" s="1207" t="s">
        <v>960</v>
      </c>
      <c r="J3" s="1210"/>
      <c r="K3" s="1210"/>
      <c r="L3" s="1210"/>
      <c r="M3" s="1210"/>
      <c r="N3" s="1205"/>
      <c r="O3" s="1235" t="s">
        <v>824</v>
      </c>
      <c r="P3" s="1236"/>
      <c r="Q3" s="1236"/>
      <c r="R3" s="1236"/>
      <c r="S3" s="1236"/>
      <c r="T3" s="1236"/>
      <c r="U3" s="1236"/>
      <c r="V3" s="1236"/>
      <c r="W3" s="1236"/>
      <c r="X3" s="1236"/>
      <c r="Y3" s="1236"/>
      <c r="Z3" s="1236"/>
      <c r="AA3" s="1236"/>
      <c r="AB3" s="1236"/>
      <c r="AC3" s="1236"/>
      <c r="AD3" s="1236"/>
      <c r="AE3" s="1236"/>
      <c r="AF3" s="1236"/>
      <c r="AG3" s="1236"/>
      <c r="AH3" s="1237"/>
      <c r="AI3" s="487" t="s">
        <v>959</v>
      </c>
      <c r="AJ3" s="1207">
        <v>1</v>
      </c>
      <c r="AK3" s="1210"/>
      <c r="AL3" s="1210"/>
      <c r="AM3" s="1210"/>
      <c r="AN3" s="1210"/>
      <c r="AO3" s="1210"/>
      <c r="AP3" s="1227"/>
      <c r="AQ3" s="1228"/>
      <c r="AR3" s="1228"/>
      <c r="AS3" s="1228"/>
      <c r="AT3" s="1228"/>
      <c r="AU3" s="1228"/>
      <c r="AV3" s="1228"/>
      <c r="AW3" s="1228"/>
      <c r="AX3" s="1228"/>
      <c r="AY3" s="1228"/>
      <c r="AZ3" s="1228"/>
      <c r="BA3" s="1229"/>
      <c r="BB3" s="446"/>
      <c r="BC3" s="446"/>
      <c r="BD3" s="446"/>
      <c r="BE3" s="446"/>
    </row>
    <row r="4" spans="1:57" ht="15.75" thickBot="1" x14ac:dyDescent="0.3"/>
    <row r="5" spans="1:57" ht="37.5" customHeight="1" thickBot="1" x14ac:dyDescent="0.3">
      <c r="A5" s="289" t="s">
        <v>785</v>
      </c>
      <c r="B5" s="290"/>
      <c r="C5" s="1241" t="s">
        <v>1110</v>
      </c>
      <c r="D5" s="1242"/>
      <c r="E5" s="1242"/>
      <c r="F5" s="1242"/>
      <c r="G5" s="1242"/>
      <c r="H5" s="1243"/>
      <c r="I5" s="1244" t="s">
        <v>1111</v>
      </c>
      <c r="J5" s="1220"/>
      <c r="K5" s="1220"/>
      <c r="L5" s="1220"/>
      <c r="M5" s="1220"/>
      <c r="N5" s="1220"/>
      <c r="O5" s="164"/>
      <c r="P5" s="1241" t="s">
        <v>1112</v>
      </c>
      <c r="Q5" s="1242"/>
      <c r="R5" s="1242"/>
      <c r="S5" s="1242"/>
      <c r="T5" s="1242"/>
      <c r="U5" s="1243"/>
      <c r="V5" s="1244" t="s">
        <v>1113</v>
      </c>
      <c r="W5" s="1220"/>
      <c r="X5" s="1220"/>
      <c r="Y5" s="1220"/>
      <c r="Z5" s="1220"/>
      <c r="AA5" s="1220"/>
      <c r="AB5" s="294"/>
      <c r="AC5" s="1241" t="s">
        <v>1114</v>
      </c>
      <c r="AD5" s="1242"/>
      <c r="AE5" s="1242"/>
      <c r="AF5" s="1242"/>
      <c r="AG5" s="1242"/>
      <c r="AH5" s="1243"/>
      <c r="AI5" s="1244" t="s">
        <v>1115</v>
      </c>
      <c r="AJ5" s="1220"/>
      <c r="AK5" s="1220"/>
      <c r="AL5" s="1220"/>
      <c r="AM5" s="1220"/>
      <c r="AN5" s="1220"/>
      <c r="AO5" s="294"/>
      <c r="AP5" s="1216" t="s">
        <v>1116</v>
      </c>
      <c r="AQ5" s="1217"/>
      <c r="AR5" s="1217"/>
      <c r="AS5" s="1217"/>
      <c r="AT5" s="1217"/>
      <c r="AU5" s="1218"/>
      <c r="AV5" s="1219" t="s">
        <v>1117</v>
      </c>
      <c r="AW5" s="1220"/>
      <c r="AX5" s="1220"/>
      <c r="AY5" s="1220"/>
      <c r="AZ5" s="1220"/>
      <c r="BA5" s="1220"/>
    </row>
    <row r="6" spans="1:57" ht="18" x14ac:dyDescent="0.25">
      <c r="A6" s="291" t="s">
        <v>825</v>
      </c>
      <c r="B6" s="290"/>
      <c r="C6" s="584">
        <f>+'Cuadro Mando Integral Detallado'!I107</f>
        <v>0.64241142816052199</v>
      </c>
      <c r="D6" s="798">
        <f>+C6</f>
        <v>0.64241142816052199</v>
      </c>
      <c r="E6" s="795">
        <f>+C6</f>
        <v>0.64241142816052199</v>
      </c>
      <c r="F6" s="795">
        <f>+C6</f>
        <v>0.64241142816052199</v>
      </c>
      <c r="G6" s="795">
        <f>+C6</f>
        <v>0.64241142816052199</v>
      </c>
      <c r="H6" s="580">
        <f>+C6</f>
        <v>0.64241142816052199</v>
      </c>
      <c r="I6" s="803">
        <f>+'Cuadro Mando Integral Detallado'!K107</f>
        <v>0.119541967151093</v>
      </c>
      <c r="J6" s="807">
        <f>+I6</f>
        <v>0.119541967151093</v>
      </c>
      <c r="K6" s="808">
        <f>+I6</f>
        <v>0.119541967151093</v>
      </c>
      <c r="L6" s="808">
        <f>+I6</f>
        <v>0.119541967151093</v>
      </c>
      <c r="M6" s="808">
        <f>+I6</f>
        <v>0.119541967151093</v>
      </c>
      <c r="N6" s="590">
        <f>+I6</f>
        <v>0.119541967151093</v>
      </c>
      <c r="O6" s="174"/>
      <c r="P6" s="584">
        <f>+'Cuadro Mando Integral Detallado'!P107</f>
        <v>0.6923697679339007</v>
      </c>
      <c r="Q6" s="795">
        <f>+P6</f>
        <v>0.6923697679339007</v>
      </c>
      <c r="R6" s="795">
        <f>+P6</f>
        <v>0.6923697679339007</v>
      </c>
      <c r="S6" s="795">
        <f>+P6</f>
        <v>0.6923697679339007</v>
      </c>
      <c r="T6" s="795">
        <f>+P6</f>
        <v>0.6923697679339007</v>
      </c>
      <c r="U6" s="580">
        <f>+P6</f>
        <v>0.6923697679339007</v>
      </c>
      <c r="V6" s="815">
        <f>+'Cuadro Mando Integral Detallado'!R107</f>
        <v>0.26457024459447837</v>
      </c>
      <c r="W6" s="807">
        <f>+V6</f>
        <v>0.26457024459447837</v>
      </c>
      <c r="X6" s="808">
        <f>+V6</f>
        <v>0.26457024459447837</v>
      </c>
      <c r="Y6" s="808">
        <f>+V6</f>
        <v>0.26457024459447837</v>
      </c>
      <c r="Z6" s="808">
        <f>+V6</f>
        <v>0.26457024459447837</v>
      </c>
      <c r="AA6" s="590">
        <f>+V6</f>
        <v>0.26457024459447837</v>
      </c>
      <c r="AB6" s="585"/>
      <c r="AC6" s="584">
        <f>+'Cuadro Mando Integral Detallado'!W107</f>
        <v>0</v>
      </c>
      <c r="AD6" s="798">
        <f>+AC6</f>
        <v>0</v>
      </c>
      <c r="AE6" s="795">
        <f>+AC6</f>
        <v>0</v>
      </c>
      <c r="AF6" s="795">
        <f>+AC6</f>
        <v>0</v>
      </c>
      <c r="AG6" s="795">
        <f>+AC6</f>
        <v>0</v>
      </c>
      <c r="AH6" s="580">
        <f>+AC6</f>
        <v>0</v>
      </c>
      <c r="AI6" s="584">
        <f>+'Cuadro Mando Integral Detallado'!Y107</f>
        <v>0.27026807047008905</v>
      </c>
      <c r="AJ6" s="819">
        <f>+AI6</f>
        <v>0.27026807047008905</v>
      </c>
      <c r="AK6" s="808">
        <f>+AI6</f>
        <v>0.27026807047008905</v>
      </c>
      <c r="AL6" s="808">
        <f>+AI6</f>
        <v>0.27026807047008905</v>
      </c>
      <c r="AM6" s="808">
        <f>+AI6</f>
        <v>0.27026807047008905</v>
      </c>
      <c r="AN6" s="590">
        <f>+AI6</f>
        <v>0.27026807047008905</v>
      </c>
      <c r="AO6" s="585"/>
      <c r="AP6" s="584">
        <f>+'Cuadro Mando Integral Detallado'!AD107</f>
        <v>0</v>
      </c>
      <c r="AQ6" s="798">
        <f>+AP6</f>
        <v>0</v>
      </c>
      <c r="AR6" s="795">
        <f>+AP6</f>
        <v>0</v>
      </c>
      <c r="AS6" s="795">
        <f>+AP6</f>
        <v>0</v>
      </c>
      <c r="AT6" s="795">
        <f>+AP6</f>
        <v>0</v>
      </c>
      <c r="AU6" s="580">
        <f>+AP6</f>
        <v>0</v>
      </c>
      <c r="AV6" s="815">
        <f>+'Cuadro Mando Integral Detallado'!AF107</f>
        <v>0.2691182476826845</v>
      </c>
      <c r="AW6" s="819">
        <f>+AV6</f>
        <v>0.2691182476826845</v>
      </c>
      <c r="AX6" s="808">
        <f>+AV6</f>
        <v>0.2691182476826845</v>
      </c>
      <c r="AY6" s="808">
        <f>+AV6</f>
        <v>0.2691182476826845</v>
      </c>
      <c r="AZ6" s="808">
        <f>+AV6</f>
        <v>0.2691182476826845</v>
      </c>
      <c r="BA6" s="590">
        <f>+AV6</f>
        <v>0.2691182476826845</v>
      </c>
    </row>
    <row r="7" spans="1:57" ht="18" x14ac:dyDescent="0.25">
      <c r="A7" s="292" t="s">
        <v>826</v>
      </c>
      <c r="B7" s="290"/>
      <c r="C7" s="586">
        <f>+'Cuadro Mando Integral Detallado'!I178</f>
        <v>0.98157247603883246</v>
      </c>
      <c r="D7" s="799">
        <f>+C7</f>
        <v>0.98157247603883246</v>
      </c>
      <c r="E7" s="794">
        <f>+C7</f>
        <v>0.98157247603883246</v>
      </c>
      <c r="F7" s="794">
        <f>+C7</f>
        <v>0.98157247603883246</v>
      </c>
      <c r="G7" s="794">
        <f>+C7</f>
        <v>0.98157247603883246</v>
      </c>
      <c r="H7" s="581">
        <f>+C7</f>
        <v>0.98157247603883246</v>
      </c>
      <c r="I7" s="804">
        <f>+'Cuadro Mando Integral Detallado'!K178</f>
        <v>0.2300738387311764</v>
      </c>
      <c r="J7" s="809">
        <f>+I7</f>
        <v>0.2300738387311764</v>
      </c>
      <c r="K7" s="806">
        <f>+I7</f>
        <v>0.2300738387311764</v>
      </c>
      <c r="L7" s="806">
        <f>+I7</f>
        <v>0.2300738387311764</v>
      </c>
      <c r="M7" s="806">
        <f>+I7</f>
        <v>0.2300738387311764</v>
      </c>
      <c r="N7" s="591">
        <f>+I7</f>
        <v>0.2300738387311764</v>
      </c>
      <c r="O7" s="175"/>
      <c r="P7" s="586">
        <f>+'Cuadro Mando Integral Detallado'!P178</f>
        <v>1.0157244761905662</v>
      </c>
      <c r="Q7" s="794">
        <f>+P7</f>
        <v>1.0157244761905662</v>
      </c>
      <c r="R7" s="794">
        <f>+P7</f>
        <v>1.0157244761905662</v>
      </c>
      <c r="S7" s="794">
        <f>+P7</f>
        <v>1.0157244761905662</v>
      </c>
      <c r="T7" s="794">
        <f>+P7</f>
        <v>1.0157244761905662</v>
      </c>
      <c r="U7" s="581">
        <f>+P7</f>
        <v>1.0157244761905662</v>
      </c>
      <c r="V7" s="816">
        <f>+'Cuadro Mando Integral Detallado'!R178</f>
        <v>0.46675770188464077</v>
      </c>
      <c r="W7" s="809">
        <f>+V7</f>
        <v>0.46675770188464077</v>
      </c>
      <c r="X7" s="806">
        <f>+V7</f>
        <v>0.46675770188464077</v>
      </c>
      <c r="Y7" s="806">
        <f>+V7</f>
        <v>0.46675770188464077</v>
      </c>
      <c r="Z7" s="806">
        <f>+V7</f>
        <v>0.46675770188464077</v>
      </c>
      <c r="AA7" s="591">
        <f>+V7</f>
        <v>0.46675770188464077</v>
      </c>
      <c r="AB7" s="585"/>
      <c r="AC7" s="586">
        <f>+'Cuadro Mando Integral Detallado'!W178</f>
        <v>0</v>
      </c>
      <c r="AD7" s="799">
        <f>+AC7</f>
        <v>0</v>
      </c>
      <c r="AE7" s="794">
        <f>+AC7</f>
        <v>0</v>
      </c>
      <c r="AF7" s="794">
        <f>+AC7</f>
        <v>0</v>
      </c>
      <c r="AG7" s="794">
        <f>+AC7</f>
        <v>0</v>
      </c>
      <c r="AH7" s="581">
        <f>+AC7</f>
        <v>0</v>
      </c>
      <c r="AI7" s="586">
        <f>+'Cuadro Mando Integral Detallado'!Y178</f>
        <v>0.46090517837730333</v>
      </c>
      <c r="AJ7" s="820">
        <f>+AI7</f>
        <v>0.46090517837730333</v>
      </c>
      <c r="AK7" s="806">
        <f>+AI7</f>
        <v>0.46090517837730333</v>
      </c>
      <c r="AL7" s="806">
        <f>+AI7</f>
        <v>0.46090517837730333</v>
      </c>
      <c r="AM7" s="806">
        <f>+AI7</f>
        <v>0.46090517837730333</v>
      </c>
      <c r="AN7" s="591">
        <f>+AI7</f>
        <v>0.46090517837730333</v>
      </c>
      <c r="AO7" s="585"/>
      <c r="AP7" s="586">
        <f>+'Cuadro Mando Integral Detallado'!AD178</f>
        <v>0</v>
      </c>
      <c r="AQ7" s="799">
        <f>+AP7</f>
        <v>0</v>
      </c>
      <c r="AR7" s="794">
        <f>+AP7</f>
        <v>0</v>
      </c>
      <c r="AS7" s="794">
        <f>+AP7</f>
        <v>0</v>
      </c>
      <c r="AT7" s="794">
        <f>+AP7</f>
        <v>0</v>
      </c>
      <c r="AU7" s="581">
        <f>+AP7</f>
        <v>0</v>
      </c>
      <c r="AV7" s="816">
        <f>+'Cuadro Mando Integral Detallado'!AF178</f>
        <v>0.46090517837730333</v>
      </c>
      <c r="AW7" s="820">
        <f>+AV7</f>
        <v>0.46090517837730333</v>
      </c>
      <c r="AX7" s="806">
        <f>+AV7</f>
        <v>0.46090517837730333</v>
      </c>
      <c r="AY7" s="806">
        <f>+AV7</f>
        <v>0.46090517837730333</v>
      </c>
      <c r="AZ7" s="806">
        <f>+AV7</f>
        <v>0.46090517837730333</v>
      </c>
      <c r="BA7" s="591">
        <f>+AV7</f>
        <v>0.46090517837730333</v>
      </c>
    </row>
    <row r="8" spans="1:57" ht="18" x14ac:dyDescent="0.25">
      <c r="A8" s="292" t="s">
        <v>827</v>
      </c>
      <c r="B8" s="290"/>
      <c r="C8" s="586">
        <f>+'Cuadro Mando Integral Detallado'!I219</f>
        <v>0.84195980135018067</v>
      </c>
      <c r="D8" s="799">
        <f>+C8</f>
        <v>0.84195980135018067</v>
      </c>
      <c r="E8" s="794">
        <f>+C8</f>
        <v>0.84195980135018067</v>
      </c>
      <c r="F8" s="794">
        <f>+C8</f>
        <v>0.84195980135018067</v>
      </c>
      <c r="G8" s="794">
        <f>+C8</f>
        <v>0.84195980135018067</v>
      </c>
      <c r="H8" s="581">
        <f>+C8</f>
        <v>0.84195980135018067</v>
      </c>
      <c r="I8" s="804">
        <f>+'Cuadro Mando Integral Detallado'!K219</f>
        <v>0.26494378269124308</v>
      </c>
      <c r="J8" s="809">
        <f>+I8</f>
        <v>0.26494378269124308</v>
      </c>
      <c r="K8" s="806">
        <f>+I8</f>
        <v>0.26494378269124308</v>
      </c>
      <c r="L8" s="806">
        <f>+I8</f>
        <v>0.26494378269124308</v>
      </c>
      <c r="M8" s="806">
        <f>+I8</f>
        <v>0.26494378269124308</v>
      </c>
      <c r="N8" s="591">
        <f>+I8</f>
        <v>0.26494378269124308</v>
      </c>
      <c r="O8" s="175"/>
      <c r="P8" s="586">
        <f>+'Cuadro Mando Integral Detallado'!P219</f>
        <v>1.2338443351233721</v>
      </c>
      <c r="Q8" s="794">
        <f>+P8</f>
        <v>1.2338443351233721</v>
      </c>
      <c r="R8" s="794">
        <f>+P8</f>
        <v>1.2338443351233721</v>
      </c>
      <c r="S8" s="794">
        <f>+P8</f>
        <v>1.2338443351233721</v>
      </c>
      <c r="T8" s="794">
        <f>+P8</f>
        <v>1.2338443351233721</v>
      </c>
      <c r="U8" s="581">
        <f>+P8</f>
        <v>1.2338443351233721</v>
      </c>
      <c r="V8" s="816">
        <f>+'Cuadro Mando Integral Detallado'!R219</f>
        <v>0.71216872513251395</v>
      </c>
      <c r="W8" s="809">
        <f>+V8</f>
        <v>0.71216872513251395</v>
      </c>
      <c r="X8" s="806">
        <f>+V8</f>
        <v>0.71216872513251395</v>
      </c>
      <c r="Y8" s="806">
        <f>+V8</f>
        <v>0.71216872513251395</v>
      </c>
      <c r="Z8" s="806">
        <f>+V8</f>
        <v>0.71216872513251395</v>
      </c>
      <c r="AA8" s="591">
        <f>+V8</f>
        <v>0.71216872513251395</v>
      </c>
      <c r="AB8" s="585"/>
      <c r="AC8" s="586">
        <f>+'Cuadro Mando Integral Detallado'!W219</f>
        <v>0</v>
      </c>
      <c r="AD8" s="799">
        <f>+AC8</f>
        <v>0</v>
      </c>
      <c r="AE8" s="794">
        <f>+AC8</f>
        <v>0</v>
      </c>
      <c r="AF8" s="794">
        <f>+AC8</f>
        <v>0</v>
      </c>
      <c r="AG8" s="794">
        <f>+AC8</f>
        <v>0</v>
      </c>
      <c r="AH8" s="581">
        <f>+AC8</f>
        <v>0</v>
      </c>
      <c r="AI8" s="586">
        <f>+'Cuadro Mando Integral Detallado'!Y219</f>
        <v>0.45810307756013063</v>
      </c>
      <c r="AJ8" s="820">
        <f>+AI8</f>
        <v>0.45810307756013063</v>
      </c>
      <c r="AK8" s="806">
        <f>+AI8</f>
        <v>0.45810307756013063</v>
      </c>
      <c r="AL8" s="806">
        <f>+AI8</f>
        <v>0.45810307756013063</v>
      </c>
      <c r="AM8" s="806">
        <f>+AI8</f>
        <v>0.45810307756013063</v>
      </c>
      <c r="AN8" s="591">
        <f>+AI8</f>
        <v>0.45810307756013063</v>
      </c>
      <c r="AO8" s="585"/>
      <c r="AP8" s="586">
        <f>+'Cuadro Mando Integral Detallado'!AD219</f>
        <v>0</v>
      </c>
      <c r="AQ8" s="799">
        <f>+AP8</f>
        <v>0</v>
      </c>
      <c r="AR8" s="794">
        <f>+AP8</f>
        <v>0</v>
      </c>
      <c r="AS8" s="794">
        <f>+AP8</f>
        <v>0</v>
      </c>
      <c r="AT8" s="794">
        <f>+AP8</f>
        <v>0</v>
      </c>
      <c r="AU8" s="581">
        <f>+AP8</f>
        <v>0</v>
      </c>
      <c r="AV8" s="816">
        <f>+'Cuadro Mando Integral Detallado'!AF219</f>
        <v>0.45810307756013063</v>
      </c>
      <c r="AW8" s="820">
        <f>+AV8</f>
        <v>0.45810307756013063</v>
      </c>
      <c r="AX8" s="806">
        <f>+AV8</f>
        <v>0.45810307756013063</v>
      </c>
      <c r="AY8" s="806">
        <f>+AV8</f>
        <v>0.45810307756013063</v>
      </c>
      <c r="AZ8" s="806">
        <f>+AV8</f>
        <v>0.45810307756013063</v>
      </c>
      <c r="BA8" s="591">
        <f>+AV8</f>
        <v>0.45810307756013063</v>
      </c>
    </row>
    <row r="9" spans="1:57" ht="18.75" thickBot="1" x14ac:dyDescent="0.3">
      <c r="A9" s="293" t="s">
        <v>828</v>
      </c>
      <c r="B9" s="290"/>
      <c r="C9" s="587">
        <f>+'Cuadro Mando Integral Detallado'!I224</f>
        <v>1.0977777777777777</v>
      </c>
      <c r="D9" s="800">
        <f>+C9</f>
        <v>1.0977777777777777</v>
      </c>
      <c r="E9" s="796">
        <f>+C9</f>
        <v>1.0977777777777777</v>
      </c>
      <c r="F9" s="796">
        <f>+C9</f>
        <v>1.0977777777777777</v>
      </c>
      <c r="G9" s="796">
        <f>+C9</f>
        <v>1.0977777777777777</v>
      </c>
      <c r="H9" s="582">
        <f>+C9</f>
        <v>1.0977777777777777</v>
      </c>
      <c r="I9" s="805">
        <f>+'Cuadro Mando Integral Detallado'!K224</f>
        <v>0.31148148148148147</v>
      </c>
      <c r="J9" s="810">
        <f>+I9</f>
        <v>0.31148148148148147</v>
      </c>
      <c r="K9" s="811">
        <f>+I9</f>
        <v>0.31148148148148147</v>
      </c>
      <c r="L9" s="811">
        <f>+I9</f>
        <v>0.31148148148148147</v>
      </c>
      <c r="M9" s="811">
        <f>+I9</f>
        <v>0.31148148148148147</v>
      </c>
      <c r="N9" s="592">
        <f>+I9</f>
        <v>0.31148148148148147</v>
      </c>
      <c r="O9" s="175"/>
      <c r="P9" s="587">
        <f>+'Cuadro Mando Integral Detallado'!P224</f>
        <v>1.9027777777777777</v>
      </c>
      <c r="Q9" s="796">
        <f>+P9</f>
        <v>1.9027777777777777</v>
      </c>
      <c r="R9" s="796">
        <f>+P9</f>
        <v>1.9027777777777777</v>
      </c>
      <c r="S9" s="796">
        <f>+P9</f>
        <v>1.9027777777777777</v>
      </c>
      <c r="T9" s="796">
        <f>+P9</f>
        <v>1.9027777777777777</v>
      </c>
      <c r="U9" s="582">
        <f>+P9</f>
        <v>1.9027777777777777</v>
      </c>
      <c r="V9" s="817">
        <f>+'Cuadro Mando Integral Detallado'!R224</f>
        <v>0.75013888888888891</v>
      </c>
      <c r="W9" s="810">
        <f>+V9</f>
        <v>0.75013888888888891</v>
      </c>
      <c r="X9" s="811">
        <f>+V9</f>
        <v>0.75013888888888891</v>
      </c>
      <c r="Y9" s="811">
        <f>+V9</f>
        <v>0.75013888888888891</v>
      </c>
      <c r="Z9" s="811">
        <f>+V9</f>
        <v>0.75013888888888891</v>
      </c>
      <c r="AA9" s="592">
        <f>+V9</f>
        <v>0.75013888888888891</v>
      </c>
      <c r="AB9" s="585"/>
      <c r="AC9" s="587">
        <f>+'Cuadro Mando Integral Detallado'!W224</f>
        <v>0</v>
      </c>
      <c r="AD9" s="800">
        <f>+AC9</f>
        <v>0</v>
      </c>
      <c r="AE9" s="796">
        <f>+AC9</f>
        <v>0</v>
      </c>
      <c r="AF9" s="796">
        <f>+AC9</f>
        <v>0</v>
      </c>
      <c r="AG9" s="796">
        <f>+AC9</f>
        <v>0</v>
      </c>
      <c r="AH9" s="582">
        <f>+AC9</f>
        <v>0</v>
      </c>
      <c r="AI9" s="587">
        <f>+'Cuadro Mando Integral Detallado'!Y224</f>
        <v>0.75013888888888891</v>
      </c>
      <c r="AJ9" s="821">
        <f>+AI9</f>
        <v>0.75013888888888891</v>
      </c>
      <c r="AK9" s="811">
        <f>+AI9</f>
        <v>0.75013888888888891</v>
      </c>
      <c r="AL9" s="811">
        <f>+AI9</f>
        <v>0.75013888888888891</v>
      </c>
      <c r="AM9" s="811">
        <f>+AI9</f>
        <v>0.75013888888888891</v>
      </c>
      <c r="AN9" s="592">
        <f>+AI9</f>
        <v>0.75013888888888891</v>
      </c>
      <c r="AO9" s="585"/>
      <c r="AP9" s="587">
        <f>+'Cuadro Mando Integral Detallado'!AD224</f>
        <v>0</v>
      </c>
      <c r="AQ9" s="800">
        <f>+AP9</f>
        <v>0</v>
      </c>
      <c r="AR9" s="796">
        <f>+AP9</f>
        <v>0</v>
      </c>
      <c r="AS9" s="796">
        <f>+AP9</f>
        <v>0</v>
      </c>
      <c r="AT9" s="796">
        <f>+AP9</f>
        <v>0</v>
      </c>
      <c r="AU9" s="582">
        <f>+AP9</f>
        <v>0</v>
      </c>
      <c r="AV9" s="817">
        <f>+'Cuadro Mando Integral Detallado'!AF224</f>
        <v>0.75013888888888891</v>
      </c>
      <c r="AW9" s="821">
        <f>+AV9</f>
        <v>0.75013888888888891</v>
      </c>
      <c r="AX9" s="811">
        <f>+AV9</f>
        <v>0.75013888888888891</v>
      </c>
      <c r="AY9" s="811">
        <f>+AV9</f>
        <v>0.75013888888888891</v>
      </c>
      <c r="AZ9" s="811">
        <f>+AV9</f>
        <v>0.75013888888888891</v>
      </c>
      <c r="BA9" s="592">
        <f>+AV9</f>
        <v>0.75013888888888891</v>
      </c>
    </row>
    <row r="10" spans="1:57" ht="11.25" customHeight="1" thickBot="1" x14ac:dyDescent="0.3">
      <c r="A10" s="420"/>
      <c r="B10" s="290"/>
      <c r="P10" s="488"/>
      <c r="Q10" s="488"/>
      <c r="R10" s="769"/>
      <c r="S10" s="769"/>
      <c r="T10" s="769"/>
      <c r="U10" s="769"/>
      <c r="V10" s="488"/>
      <c r="AB10" s="488"/>
      <c r="AC10" s="486"/>
      <c r="AD10" s="23"/>
      <c r="AE10" s="23"/>
      <c r="AF10" s="23"/>
      <c r="AG10" s="23"/>
      <c r="AH10" s="23"/>
      <c r="AI10" s="486"/>
      <c r="AJ10" s="594"/>
      <c r="AK10" s="594"/>
      <c r="AL10" s="594"/>
      <c r="AM10" s="594"/>
      <c r="AN10" s="594"/>
      <c r="AO10" s="488"/>
      <c r="AP10" s="488"/>
      <c r="AV10" s="488"/>
      <c r="AW10" s="161"/>
    </row>
    <row r="11" spans="1:57" ht="18.75" thickBot="1" x14ac:dyDescent="0.3">
      <c r="A11" s="862" t="s">
        <v>1199</v>
      </c>
      <c r="B11" s="294"/>
      <c r="C11" s="802">
        <f>+'Cuadro Mando Integral Detallado'!I225</f>
        <v>0.89093037083182813</v>
      </c>
      <c r="D11" s="801">
        <f>+C11</f>
        <v>0.89093037083182813</v>
      </c>
      <c r="E11" s="797">
        <f>+C11</f>
        <v>0.89093037083182813</v>
      </c>
      <c r="F11" s="797">
        <f>+C11</f>
        <v>0.89093037083182813</v>
      </c>
      <c r="G11" s="797">
        <f>+C11</f>
        <v>0.89093037083182813</v>
      </c>
      <c r="H11" s="583">
        <f>+C11</f>
        <v>0.89093037083182813</v>
      </c>
      <c r="I11" s="812">
        <f>+'Cuadro Mando Integral Detallado'!K225</f>
        <v>0.23151026751374848</v>
      </c>
      <c r="J11" s="813">
        <f>+I11</f>
        <v>0.23151026751374848</v>
      </c>
      <c r="K11" s="814">
        <f>+I11</f>
        <v>0.23151026751374848</v>
      </c>
      <c r="L11" s="814">
        <f>+I11</f>
        <v>0.23151026751374848</v>
      </c>
      <c r="M11" s="814">
        <f>+I11</f>
        <v>0.23151026751374848</v>
      </c>
      <c r="N11" s="593">
        <f>+I11</f>
        <v>0.23151026751374848</v>
      </c>
      <c r="O11" s="176"/>
      <c r="P11" s="802">
        <f>+'Cuadro Mando Integral Detallado'!P225</f>
        <v>1.2111790892564041</v>
      </c>
      <c r="Q11" s="801">
        <f>+P11</f>
        <v>1.2111790892564041</v>
      </c>
      <c r="R11" s="797">
        <f>+P11</f>
        <v>1.2111790892564041</v>
      </c>
      <c r="S11" s="797">
        <f>+P11</f>
        <v>1.2111790892564041</v>
      </c>
      <c r="T11" s="797">
        <f>+P11</f>
        <v>1.2111790892564041</v>
      </c>
      <c r="U11" s="583">
        <f>+P11</f>
        <v>1.2111790892564041</v>
      </c>
      <c r="V11" s="818">
        <f>+'Cuadro Mando Integral Detallado'!R225</f>
        <v>0.5484088901251305</v>
      </c>
      <c r="W11" s="813">
        <f>+V11</f>
        <v>0.5484088901251305</v>
      </c>
      <c r="X11" s="814">
        <f>+V11</f>
        <v>0.5484088901251305</v>
      </c>
      <c r="Y11" s="814">
        <f>+V11</f>
        <v>0.5484088901251305</v>
      </c>
      <c r="Z11" s="814">
        <f>+V11</f>
        <v>0.5484088901251305</v>
      </c>
      <c r="AA11" s="593">
        <f>+V11</f>
        <v>0.5484088901251305</v>
      </c>
      <c r="AB11" s="588"/>
      <c r="AC11" s="802">
        <f>+'Cuadro Mando Integral Detallado'!W225</f>
        <v>0</v>
      </c>
      <c r="AD11" s="801">
        <f>+AC11</f>
        <v>0</v>
      </c>
      <c r="AE11" s="797">
        <f>+AC11</f>
        <v>0</v>
      </c>
      <c r="AF11" s="797">
        <f>+AC11</f>
        <v>0</v>
      </c>
      <c r="AG11" s="797">
        <f>+AC11</f>
        <v>0</v>
      </c>
      <c r="AH11" s="583">
        <f>+AC11</f>
        <v>0</v>
      </c>
      <c r="AI11" s="818">
        <f>+'Cuadro Mando Integral Detallado'!Y225</f>
        <v>0.48485380382410298</v>
      </c>
      <c r="AJ11" s="822">
        <f>+AI11</f>
        <v>0.48485380382410298</v>
      </c>
      <c r="AK11" s="814">
        <f>+AI11</f>
        <v>0.48485380382410298</v>
      </c>
      <c r="AL11" s="814">
        <f>+AI11</f>
        <v>0.48485380382410298</v>
      </c>
      <c r="AM11" s="814">
        <f>+AI11</f>
        <v>0.48485380382410298</v>
      </c>
      <c r="AN11" s="593">
        <f>+AI11</f>
        <v>0.48485380382410298</v>
      </c>
      <c r="AO11" s="588"/>
      <c r="AP11" s="802">
        <f>+'Cuadro Mando Integral Detallado'!AD225</f>
        <v>0</v>
      </c>
      <c r="AQ11" s="801">
        <f>+AP11</f>
        <v>0</v>
      </c>
      <c r="AR11" s="797">
        <f>+AP11</f>
        <v>0</v>
      </c>
      <c r="AS11" s="797">
        <f>+AP11</f>
        <v>0</v>
      </c>
      <c r="AT11" s="797">
        <f>+AP11</f>
        <v>0</v>
      </c>
      <c r="AU11" s="583">
        <f>+AP11</f>
        <v>0</v>
      </c>
      <c r="AV11" s="818">
        <f>+'Cuadro Mando Integral Detallado'!AF225</f>
        <v>0.48456634812725186</v>
      </c>
      <c r="AW11" s="822">
        <f>+AV11</f>
        <v>0.48456634812725186</v>
      </c>
      <c r="AX11" s="814">
        <f>+AV11</f>
        <v>0.48456634812725186</v>
      </c>
      <c r="AY11" s="814">
        <f>+AV11</f>
        <v>0.48456634812725186</v>
      </c>
      <c r="AZ11" s="814">
        <f>+AV11</f>
        <v>0.48456634812725186</v>
      </c>
      <c r="BA11" s="593">
        <f>+AV11</f>
        <v>0.48456634812725186</v>
      </c>
    </row>
    <row r="12" spans="1:57" ht="8.25" customHeight="1" thickBot="1" x14ac:dyDescent="0.3"/>
    <row r="13" spans="1:57" ht="18.75" thickBot="1" x14ac:dyDescent="0.3">
      <c r="A13" s="862" t="s">
        <v>1198</v>
      </c>
      <c r="C13" s="802">
        <f>+'Cuadro Mando Integral Detallado'!I226</f>
        <v>0.87179195721597191</v>
      </c>
      <c r="D13" s="801">
        <f>+C13</f>
        <v>0.87179195721597191</v>
      </c>
      <c r="E13" s="797">
        <f>+C13</f>
        <v>0.87179195721597191</v>
      </c>
      <c r="F13" s="797">
        <f>+C13</f>
        <v>0.87179195721597191</v>
      </c>
      <c r="G13" s="797">
        <f>+C13</f>
        <v>0.87179195721597191</v>
      </c>
      <c r="H13" s="583">
        <f>+C13</f>
        <v>0.87179195721597191</v>
      </c>
      <c r="I13" s="812">
        <f>+'Cuadro Mando Integral Detallado'!K226</f>
        <v>0.18105610565779709</v>
      </c>
      <c r="J13" s="813">
        <f>+I13</f>
        <v>0.18105610565779709</v>
      </c>
      <c r="K13" s="814">
        <f>+I13</f>
        <v>0.18105610565779709</v>
      </c>
      <c r="L13" s="814">
        <f>+I13</f>
        <v>0.18105610565779709</v>
      </c>
      <c r="M13" s="814">
        <f>+I13</f>
        <v>0.18105610565779709</v>
      </c>
      <c r="N13" s="593">
        <f>+I13</f>
        <v>0.18105610565779709</v>
      </c>
      <c r="O13" s="176"/>
      <c r="P13" s="802">
        <f>+'Cuadro Mando Integral Detallado'!P226</f>
        <v>0.84190929990908447</v>
      </c>
      <c r="Q13" s="801">
        <f>+P13</f>
        <v>0.84190929990908447</v>
      </c>
      <c r="R13" s="797">
        <f>+P13</f>
        <v>0.84190929990908447</v>
      </c>
      <c r="S13" s="797">
        <f>+P13</f>
        <v>0.84190929990908447</v>
      </c>
      <c r="T13" s="797">
        <f>+P13</f>
        <v>0.84190929990908447</v>
      </c>
      <c r="U13" s="583">
        <f>+P13</f>
        <v>0.84190929990908447</v>
      </c>
      <c r="V13" s="865">
        <f>+'Cuadro Mando Integral Detallado'!R226</f>
        <v>0.38004191991869685</v>
      </c>
      <c r="W13" s="813">
        <f>+V13</f>
        <v>0.38004191991869685</v>
      </c>
      <c r="X13" s="814">
        <f>+V13</f>
        <v>0.38004191991869685</v>
      </c>
      <c r="Y13" s="814">
        <f>+V13</f>
        <v>0.38004191991869685</v>
      </c>
      <c r="Z13" s="814">
        <f>+V13</f>
        <v>0.38004191991869685</v>
      </c>
      <c r="AA13" s="593">
        <f>+V13</f>
        <v>0.38004191991869685</v>
      </c>
      <c r="AB13" s="588"/>
      <c r="AC13" s="802">
        <f>+'Cuadro Mando Integral Detallado'!W226</f>
        <v>0</v>
      </c>
      <c r="AD13" s="801">
        <f>+AC13</f>
        <v>0</v>
      </c>
      <c r="AE13" s="797">
        <f>+AC13</f>
        <v>0</v>
      </c>
      <c r="AF13" s="797">
        <f>+AC13</f>
        <v>0</v>
      </c>
      <c r="AG13" s="797">
        <f>+AC13</f>
        <v>0</v>
      </c>
      <c r="AH13" s="583">
        <f>+AC13</f>
        <v>0</v>
      </c>
      <c r="AI13" s="818">
        <f>+'Cuadro Mando Integral Detallado'!Y226</f>
        <v>0.38055157110014098</v>
      </c>
      <c r="AJ13" s="822">
        <f>+AI13</f>
        <v>0.38055157110014098</v>
      </c>
      <c r="AK13" s="814">
        <f>+AI13</f>
        <v>0.38055157110014098</v>
      </c>
      <c r="AL13" s="814">
        <f>+AI13</f>
        <v>0.38055157110014098</v>
      </c>
      <c r="AM13" s="814">
        <f>+AI13</f>
        <v>0.38055157110014098</v>
      </c>
      <c r="AN13" s="593">
        <f>+AI13</f>
        <v>0.38055157110014098</v>
      </c>
      <c r="AO13" s="588"/>
      <c r="AP13" s="802">
        <f>+'Cuadro Mando Integral Detallado'!AD226</f>
        <v>0</v>
      </c>
      <c r="AQ13" s="801">
        <f>+AP13</f>
        <v>0</v>
      </c>
      <c r="AR13" s="797">
        <f>+AP13</f>
        <v>0</v>
      </c>
      <c r="AS13" s="797">
        <f>+AP13</f>
        <v>0</v>
      </c>
      <c r="AT13" s="797">
        <f>+AP13</f>
        <v>0</v>
      </c>
      <c r="AU13" s="583">
        <f>+AP13</f>
        <v>0</v>
      </c>
      <c r="AV13" s="818">
        <f>+'Cuadro Mando Integral Detallado'!AF226</f>
        <v>0.38004191991869685</v>
      </c>
      <c r="AW13" s="822">
        <f>+AV13</f>
        <v>0.38004191991869685</v>
      </c>
      <c r="AX13" s="814">
        <f>+AV13</f>
        <v>0.38004191991869685</v>
      </c>
      <c r="AY13" s="814">
        <f>+AV13</f>
        <v>0.38004191991869685</v>
      </c>
      <c r="AZ13" s="814">
        <f>+AV13</f>
        <v>0.38004191991869685</v>
      </c>
      <c r="BA13" s="593">
        <f>+AV13</f>
        <v>0.38004191991869685</v>
      </c>
    </row>
    <row r="14" spans="1:57" s="146" customFormat="1" x14ac:dyDescent="0.25">
      <c r="A14" s="316"/>
    </row>
    <row r="15" spans="1:57" x14ac:dyDescent="0.25">
      <c r="V15" s="589"/>
      <c r="AI15" s="589"/>
      <c r="AJ15" s="589"/>
      <c r="AK15" s="589"/>
      <c r="AL15" s="589"/>
      <c r="AM15" s="589"/>
      <c r="AN15" s="589"/>
      <c r="AV15" s="589"/>
    </row>
    <row r="16" spans="1:57" x14ac:dyDescent="0.25">
      <c r="V16" s="589"/>
      <c r="AI16" s="589"/>
      <c r="AJ16" s="589"/>
      <c r="AK16" s="589"/>
      <c r="AL16" s="589"/>
      <c r="AM16" s="589"/>
      <c r="AN16" s="589"/>
      <c r="AV16" s="589"/>
    </row>
    <row r="17" spans="22:48" x14ac:dyDescent="0.25">
      <c r="V17" s="589"/>
      <c r="Y17" s="4"/>
      <c r="AI17" s="589"/>
      <c r="AJ17" s="589"/>
      <c r="AK17" s="589"/>
      <c r="AL17" s="589"/>
      <c r="AM17" s="589"/>
      <c r="AN17" s="589"/>
      <c r="AV17" s="589"/>
    </row>
    <row r="18" spans="22:48" x14ac:dyDescent="0.25">
      <c r="V18" s="589"/>
      <c r="AI18" s="589"/>
      <c r="AJ18" s="589"/>
      <c r="AK18" s="589"/>
      <c r="AL18" s="589"/>
      <c r="AM18" s="589"/>
      <c r="AN18" s="589"/>
      <c r="AV18" s="589"/>
    </row>
    <row r="19" spans="22:48" x14ac:dyDescent="0.25">
      <c r="V19" s="589"/>
    </row>
  </sheetData>
  <mergeCells count="18">
    <mergeCell ref="A1:A3"/>
    <mergeCell ref="I1:AO1"/>
    <mergeCell ref="C5:H5"/>
    <mergeCell ref="I5:N5"/>
    <mergeCell ref="P5:U5"/>
    <mergeCell ref="V5:AA5"/>
    <mergeCell ref="AC5:AH5"/>
    <mergeCell ref="AI5:AN5"/>
    <mergeCell ref="I2:AO2"/>
    <mergeCell ref="AP5:AU5"/>
    <mergeCell ref="AV5:BA5"/>
    <mergeCell ref="AP1:BA3"/>
    <mergeCell ref="B1:H1"/>
    <mergeCell ref="B2:H2"/>
    <mergeCell ref="B3:H3"/>
    <mergeCell ref="I3:N3"/>
    <mergeCell ref="O3:AH3"/>
    <mergeCell ref="AJ3:AO3"/>
  </mergeCells>
  <conditionalFormatting sqref="D6">
    <cfRule type="cellIs" dxfId="1702" priority="982" stopIfTrue="1" operator="between">
      <formula>0</formula>
      <formula>0.5</formula>
    </cfRule>
  </conditionalFormatting>
  <conditionalFormatting sqref="AJ6">
    <cfRule type="cellIs" dxfId="1701" priority="807" stopIfTrue="1" operator="between">
      <formula>0</formula>
      <formula>0.375</formula>
    </cfRule>
  </conditionalFormatting>
  <conditionalFormatting sqref="J6">
    <cfRule type="cellIs" dxfId="1700" priority="577" stopIfTrue="1" operator="between">
      <formula>0</formula>
      <formula>0.125</formula>
    </cfRule>
  </conditionalFormatting>
  <conditionalFormatting sqref="W6">
    <cfRule type="cellIs" dxfId="1699" priority="472" stopIfTrue="1" operator="between">
      <formula>0</formula>
      <formula>0.255</formula>
    </cfRule>
  </conditionalFormatting>
  <conditionalFormatting sqref="AW6">
    <cfRule type="cellIs" dxfId="1698" priority="342" stopIfTrue="1" operator="between">
      <formula>0</formula>
      <formula>0.5</formula>
    </cfRule>
  </conditionalFormatting>
  <conditionalFormatting sqref="E6">
    <cfRule type="cellIs" dxfId="1697" priority="297" operator="between">
      <formula>0.51</formula>
      <formula>0.75</formula>
    </cfRule>
  </conditionalFormatting>
  <conditionalFormatting sqref="F6">
    <cfRule type="cellIs" dxfId="1696" priority="296" operator="between">
      <formula>0.76</formula>
      <formula>0.95</formula>
    </cfRule>
  </conditionalFormatting>
  <conditionalFormatting sqref="G6">
    <cfRule type="cellIs" dxfId="1695" priority="295" operator="between">
      <formula>0.95</formula>
      <formula>1</formula>
    </cfRule>
  </conditionalFormatting>
  <conditionalFormatting sqref="H6">
    <cfRule type="cellIs" dxfId="1694" priority="294" operator="greaterThan">
      <formula>1</formula>
    </cfRule>
  </conditionalFormatting>
  <conditionalFormatting sqref="D7">
    <cfRule type="cellIs" dxfId="1693" priority="293" stopIfTrue="1" operator="between">
      <formula>0</formula>
      <formula>0.5</formula>
    </cfRule>
  </conditionalFormatting>
  <conditionalFormatting sqref="E7">
    <cfRule type="cellIs" dxfId="1692" priority="292" operator="between">
      <formula>0.51</formula>
      <formula>0.75</formula>
    </cfRule>
  </conditionalFormatting>
  <conditionalFormatting sqref="F7">
    <cfRule type="cellIs" dxfId="1691" priority="291" operator="between">
      <formula>0.76</formula>
      <formula>0.95</formula>
    </cfRule>
  </conditionalFormatting>
  <conditionalFormatting sqref="G7">
    <cfRule type="cellIs" dxfId="1690" priority="290" operator="between">
      <formula>0.95</formula>
      <formula>1</formula>
    </cfRule>
  </conditionalFormatting>
  <conditionalFormatting sqref="H7">
    <cfRule type="cellIs" dxfId="1689" priority="289" operator="greaterThan">
      <formula>1</formula>
    </cfRule>
  </conditionalFormatting>
  <conditionalFormatting sqref="D8">
    <cfRule type="cellIs" dxfId="1688" priority="288" stopIfTrue="1" operator="between">
      <formula>0</formula>
      <formula>0.5</formula>
    </cfRule>
  </conditionalFormatting>
  <conditionalFormatting sqref="E8">
    <cfRule type="cellIs" dxfId="1687" priority="287" operator="between">
      <formula>0.51</formula>
      <formula>0.75</formula>
    </cfRule>
  </conditionalFormatting>
  <conditionalFormatting sqref="F8">
    <cfRule type="cellIs" dxfId="1686" priority="286" operator="between">
      <formula>0.76</formula>
      <formula>0.95</formula>
    </cfRule>
  </conditionalFormatting>
  <conditionalFormatting sqref="G8">
    <cfRule type="cellIs" dxfId="1685" priority="285" operator="between">
      <formula>0.95</formula>
      <formula>1</formula>
    </cfRule>
  </conditionalFormatting>
  <conditionalFormatting sqref="H8">
    <cfRule type="cellIs" dxfId="1684" priority="284" operator="greaterThan">
      <formula>1</formula>
    </cfRule>
  </conditionalFormatting>
  <conditionalFormatting sqref="D9">
    <cfRule type="cellIs" dxfId="1683" priority="283" stopIfTrue="1" operator="between">
      <formula>0</formula>
      <formula>0.5</formula>
    </cfRule>
  </conditionalFormatting>
  <conditionalFormatting sqref="E9">
    <cfRule type="cellIs" dxfId="1682" priority="282" operator="between">
      <formula>0.51</formula>
      <formula>0.75</formula>
    </cfRule>
  </conditionalFormatting>
  <conditionalFormatting sqref="F9">
    <cfRule type="cellIs" dxfId="1681" priority="281" operator="between">
      <formula>0.76</formula>
      <formula>0.95</formula>
    </cfRule>
  </conditionalFormatting>
  <conditionalFormatting sqref="G9">
    <cfRule type="cellIs" dxfId="1680" priority="280" operator="between">
      <formula>0.95</formula>
      <formula>1</formula>
    </cfRule>
  </conditionalFormatting>
  <conditionalFormatting sqref="H9">
    <cfRule type="cellIs" dxfId="1679" priority="279" operator="greaterThan">
      <formula>1</formula>
    </cfRule>
  </conditionalFormatting>
  <conditionalFormatting sqref="D11">
    <cfRule type="cellIs" dxfId="1678" priority="278" stopIfTrue="1" operator="between">
      <formula>0</formula>
      <formula>0.5</formula>
    </cfRule>
  </conditionalFormatting>
  <conditionalFormatting sqref="E11">
    <cfRule type="cellIs" dxfId="1677" priority="277" operator="between">
      <formula>0.51</formula>
      <formula>0.75</formula>
    </cfRule>
  </conditionalFormatting>
  <conditionalFormatting sqref="F11">
    <cfRule type="cellIs" dxfId="1676" priority="276" operator="between">
      <formula>0.76</formula>
      <formula>0.95</formula>
    </cfRule>
  </conditionalFormatting>
  <conditionalFormatting sqref="G11">
    <cfRule type="cellIs" dxfId="1675" priority="275" operator="between">
      <formula>0.95</formula>
      <formula>1</formula>
    </cfRule>
  </conditionalFormatting>
  <conditionalFormatting sqref="H11">
    <cfRule type="cellIs" dxfId="1674" priority="274" operator="greaterThan">
      <formula>1</formula>
    </cfRule>
  </conditionalFormatting>
  <conditionalFormatting sqref="Q6">
    <cfRule type="cellIs" dxfId="1673" priority="273" stopIfTrue="1" operator="between">
      <formula>0</formula>
      <formula>0.5</formula>
    </cfRule>
  </conditionalFormatting>
  <conditionalFormatting sqref="R6">
    <cfRule type="cellIs" dxfId="1672" priority="272" operator="between">
      <formula>0.51</formula>
      <formula>0.75</formula>
    </cfRule>
  </conditionalFormatting>
  <conditionalFormatting sqref="S6">
    <cfRule type="cellIs" dxfId="1671" priority="271" operator="between">
      <formula>0.76</formula>
      <formula>0.95</formula>
    </cfRule>
  </conditionalFormatting>
  <conditionalFormatting sqref="T6">
    <cfRule type="cellIs" dxfId="1670" priority="270" operator="between">
      <formula>0.95</formula>
      <formula>1</formula>
    </cfRule>
  </conditionalFormatting>
  <conditionalFormatting sqref="U6">
    <cfRule type="cellIs" dxfId="1669" priority="269" operator="greaterThan">
      <formula>1</formula>
    </cfRule>
  </conditionalFormatting>
  <conditionalFormatting sqref="Q7">
    <cfRule type="cellIs" dxfId="1668" priority="268" stopIfTrue="1" operator="between">
      <formula>0</formula>
      <formula>0.5</formula>
    </cfRule>
  </conditionalFormatting>
  <conditionalFormatting sqref="R7">
    <cfRule type="cellIs" dxfId="1667" priority="267" operator="between">
      <formula>0.51</formula>
      <formula>0.75</formula>
    </cfRule>
  </conditionalFormatting>
  <conditionalFormatting sqref="S7">
    <cfRule type="cellIs" dxfId="1666" priority="266" operator="between">
      <formula>0.76</formula>
      <formula>0.95</formula>
    </cfRule>
  </conditionalFormatting>
  <conditionalFormatting sqref="T7">
    <cfRule type="cellIs" dxfId="1665" priority="265" operator="between">
      <formula>0.95</formula>
      <formula>1</formula>
    </cfRule>
  </conditionalFormatting>
  <conditionalFormatting sqref="U7">
    <cfRule type="cellIs" dxfId="1664" priority="264" operator="greaterThan">
      <formula>1</formula>
    </cfRule>
  </conditionalFormatting>
  <conditionalFormatting sqref="Q8">
    <cfRule type="cellIs" dxfId="1663" priority="263" stopIfTrue="1" operator="between">
      <formula>0</formula>
      <formula>0.5</formula>
    </cfRule>
  </conditionalFormatting>
  <conditionalFormatting sqref="R8">
    <cfRule type="cellIs" dxfId="1662" priority="262" operator="between">
      <formula>0.51</formula>
      <formula>0.75</formula>
    </cfRule>
  </conditionalFormatting>
  <conditionalFormatting sqref="S8">
    <cfRule type="cellIs" dxfId="1661" priority="261" operator="between">
      <formula>0.76</formula>
      <formula>0.95</formula>
    </cfRule>
  </conditionalFormatting>
  <conditionalFormatting sqref="T8">
    <cfRule type="cellIs" dxfId="1660" priority="260" operator="between">
      <formula>0.95</formula>
      <formula>1</formula>
    </cfRule>
  </conditionalFormatting>
  <conditionalFormatting sqref="U8">
    <cfRule type="cellIs" dxfId="1659" priority="259" operator="greaterThan">
      <formula>1</formula>
    </cfRule>
  </conditionalFormatting>
  <conditionalFormatting sqref="Q9">
    <cfRule type="cellIs" dxfId="1658" priority="258" stopIfTrue="1" operator="between">
      <formula>0</formula>
      <formula>0.5</formula>
    </cfRule>
  </conditionalFormatting>
  <conditionalFormatting sqref="R9">
    <cfRule type="cellIs" dxfId="1657" priority="257" operator="between">
      <formula>0.51</formula>
      <formula>0.75</formula>
    </cfRule>
  </conditionalFormatting>
  <conditionalFormatting sqref="S9">
    <cfRule type="cellIs" dxfId="1656" priority="256" operator="between">
      <formula>0.76</formula>
      <formula>0.95</formula>
    </cfRule>
  </conditionalFormatting>
  <conditionalFormatting sqref="T9">
    <cfRule type="cellIs" dxfId="1655" priority="255" operator="between">
      <formula>0.95</formula>
      <formula>1</formula>
    </cfRule>
  </conditionalFormatting>
  <conditionalFormatting sqref="U9">
    <cfRule type="cellIs" dxfId="1654" priority="254" operator="greaterThan">
      <formula>1</formula>
    </cfRule>
  </conditionalFormatting>
  <conditionalFormatting sqref="AD6">
    <cfRule type="cellIs" dxfId="1653" priority="253" stopIfTrue="1" operator="between">
      <formula>0</formula>
      <formula>0.5</formula>
    </cfRule>
  </conditionalFormatting>
  <conditionalFormatting sqref="AE6">
    <cfRule type="cellIs" dxfId="1652" priority="252" operator="between">
      <formula>0.51</formula>
      <formula>0.75</formula>
    </cfRule>
  </conditionalFormatting>
  <conditionalFormatting sqref="AF6">
    <cfRule type="cellIs" dxfId="1651" priority="251" operator="between">
      <formula>0.76</formula>
      <formula>0.95</formula>
    </cfRule>
  </conditionalFormatting>
  <conditionalFormatting sqref="AG6">
    <cfRule type="cellIs" dxfId="1650" priority="250" operator="between">
      <formula>0.95</formula>
      <formula>1</formula>
    </cfRule>
  </conditionalFormatting>
  <conditionalFormatting sqref="AH6">
    <cfRule type="cellIs" dxfId="1649" priority="249" operator="greaterThan">
      <formula>1</formula>
    </cfRule>
  </conditionalFormatting>
  <conditionalFormatting sqref="AD7">
    <cfRule type="cellIs" dxfId="1648" priority="248" stopIfTrue="1" operator="between">
      <formula>0</formula>
      <formula>0.5</formula>
    </cfRule>
  </conditionalFormatting>
  <conditionalFormatting sqref="AE7">
    <cfRule type="cellIs" dxfId="1647" priority="247" operator="between">
      <formula>0.51</formula>
      <formula>0.75</formula>
    </cfRule>
  </conditionalFormatting>
  <conditionalFormatting sqref="AF7">
    <cfRule type="cellIs" dxfId="1646" priority="246" operator="between">
      <formula>0.76</formula>
      <formula>0.95</formula>
    </cfRule>
  </conditionalFormatting>
  <conditionalFormatting sqref="AG7">
    <cfRule type="cellIs" dxfId="1645" priority="245" operator="between">
      <formula>0.95</formula>
      <formula>1</formula>
    </cfRule>
  </conditionalFormatting>
  <conditionalFormatting sqref="AH7">
    <cfRule type="cellIs" dxfId="1644" priority="244" operator="greaterThan">
      <formula>1</formula>
    </cfRule>
  </conditionalFormatting>
  <conditionalFormatting sqref="AD8">
    <cfRule type="cellIs" dxfId="1643" priority="243" stopIfTrue="1" operator="between">
      <formula>0</formula>
      <formula>0.5</formula>
    </cfRule>
  </conditionalFormatting>
  <conditionalFormatting sqref="AE8">
    <cfRule type="cellIs" dxfId="1642" priority="242" operator="between">
      <formula>0.51</formula>
      <formula>0.75</formula>
    </cfRule>
  </conditionalFormatting>
  <conditionalFormatting sqref="AF8">
    <cfRule type="cellIs" dxfId="1641" priority="241" operator="between">
      <formula>0.76</formula>
      <formula>0.95</formula>
    </cfRule>
  </conditionalFormatting>
  <conditionalFormatting sqref="AG8">
    <cfRule type="cellIs" dxfId="1640" priority="240" operator="between">
      <formula>0.95</formula>
      <formula>1</formula>
    </cfRule>
  </conditionalFormatting>
  <conditionalFormatting sqref="AH8">
    <cfRule type="cellIs" dxfId="1639" priority="239" operator="greaterThan">
      <formula>1</formula>
    </cfRule>
  </conditionalFormatting>
  <conditionalFormatting sqref="AD9">
    <cfRule type="cellIs" dxfId="1638" priority="238" stopIfTrue="1" operator="between">
      <formula>0</formula>
      <formula>0.5</formula>
    </cfRule>
  </conditionalFormatting>
  <conditionalFormatting sqref="AE9">
    <cfRule type="cellIs" dxfId="1637" priority="237" operator="between">
      <formula>0.51</formula>
      <formula>0.75</formula>
    </cfRule>
  </conditionalFormatting>
  <conditionalFormatting sqref="AF9">
    <cfRule type="cellIs" dxfId="1636" priority="236" operator="between">
      <formula>0.76</formula>
      <formula>0.95</formula>
    </cfRule>
  </conditionalFormatting>
  <conditionalFormatting sqref="AG9">
    <cfRule type="cellIs" dxfId="1635" priority="235" operator="between">
      <formula>0.95</formula>
      <formula>1</formula>
    </cfRule>
  </conditionalFormatting>
  <conditionalFormatting sqref="AH9">
    <cfRule type="cellIs" dxfId="1634" priority="234" operator="greaterThan">
      <formula>1</formula>
    </cfRule>
  </conditionalFormatting>
  <conditionalFormatting sqref="AQ6">
    <cfRule type="cellIs" dxfId="1633" priority="233" stopIfTrue="1" operator="between">
      <formula>0</formula>
      <formula>0.5</formula>
    </cfRule>
  </conditionalFormatting>
  <conditionalFormatting sqref="AR6">
    <cfRule type="cellIs" dxfId="1632" priority="232" operator="between">
      <formula>0.51</formula>
      <formula>0.75</formula>
    </cfRule>
  </conditionalFormatting>
  <conditionalFormatting sqref="AS6">
    <cfRule type="cellIs" dxfId="1631" priority="231" operator="between">
      <formula>0.76</formula>
      <formula>0.95</formula>
    </cfRule>
  </conditionalFormatting>
  <conditionalFormatting sqref="AT6">
    <cfRule type="cellIs" dxfId="1630" priority="230" operator="between">
      <formula>0.95</formula>
      <formula>1</formula>
    </cfRule>
  </conditionalFormatting>
  <conditionalFormatting sqref="AU6">
    <cfRule type="cellIs" dxfId="1629" priority="229" operator="greaterThan">
      <formula>1</formula>
    </cfRule>
  </conditionalFormatting>
  <conditionalFormatting sqref="AQ7">
    <cfRule type="cellIs" dxfId="1628" priority="228" stopIfTrue="1" operator="between">
      <formula>0</formula>
      <formula>0.5</formula>
    </cfRule>
  </conditionalFormatting>
  <conditionalFormatting sqref="AR7">
    <cfRule type="cellIs" dxfId="1627" priority="227" operator="between">
      <formula>0.51</formula>
      <formula>0.75</formula>
    </cfRule>
  </conditionalFormatting>
  <conditionalFormatting sqref="AS7">
    <cfRule type="cellIs" dxfId="1626" priority="226" operator="between">
      <formula>0.76</formula>
      <formula>0.95</formula>
    </cfRule>
  </conditionalFormatting>
  <conditionalFormatting sqref="AT7">
    <cfRule type="cellIs" dxfId="1625" priority="225" operator="between">
      <formula>0.95</formula>
      <formula>1</formula>
    </cfRule>
  </conditionalFormatting>
  <conditionalFormatting sqref="AU7">
    <cfRule type="cellIs" dxfId="1624" priority="224" operator="greaterThan">
      <formula>1</formula>
    </cfRule>
  </conditionalFormatting>
  <conditionalFormatting sqref="AQ8">
    <cfRule type="cellIs" dxfId="1623" priority="223" stopIfTrue="1" operator="between">
      <formula>0</formula>
      <formula>0.5</formula>
    </cfRule>
  </conditionalFormatting>
  <conditionalFormatting sqref="AR8">
    <cfRule type="cellIs" dxfId="1622" priority="222" operator="between">
      <formula>0.51</formula>
      <formula>0.75</formula>
    </cfRule>
  </conditionalFormatting>
  <conditionalFormatting sqref="AS8">
    <cfRule type="cellIs" dxfId="1621" priority="221" operator="between">
      <formula>0.76</formula>
      <formula>0.95</formula>
    </cfRule>
  </conditionalFormatting>
  <conditionalFormatting sqref="AT8">
    <cfRule type="cellIs" dxfId="1620" priority="220" operator="between">
      <formula>0.95</formula>
      <formula>1</formula>
    </cfRule>
  </conditionalFormatting>
  <conditionalFormatting sqref="AU8">
    <cfRule type="cellIs" dxfId="1619" priority="219" operator="greaterThan">
      <formula>1</formula>
    </cfRule>
  </conditionalFormatting>
  <conditionalFormatting sqref="AQ9">
    <cfRule type="cellIs" dxfId="1618" priority="218" stopIfTrue="1" operator="between">
      <formula>0</formula>
      <formula>0.5</formula>
    </cfRule>
  </conditionalFormatting>
  <conditionalFormatting sqref="AR9">
    <cfRule type="cellIs" dxfId="1617" priority="217" operator="between">
      <formula>0.51</formula>
      <formula>0.75</formula>
    </cfRule>
  </conditionalFormatting>
  <conditionalFormatting sqref="AS9">
    <cfRule type="cellIs" dxfId="1616" priority="216" operator="between">
      <formula>0.76</formula>
      <formula>0.95</formula>
    </cfRule>
  </conditionalFormatting>
  <conditionalFormatting sqref="AT9">
    <cfRule type="cellIs" dxfId="1615" priority="215" operator="between">
      <formula>0.95</formula>
      <formula>1</formula>
    </cfRule>
  </conditionalFormatting>
  <conditionalFormatting sqref="AU9">
    <cfRule type="cellIs" dxfId="1614" priority="214" operator="greaterThan">
      <formula>1</formula>
    </cfRule>
  </conditionalFormatting>
  <conditionalFormatting sqref="Q11">
    <cfRule type="cellIs" dxfId="1613" priority="213" stopIfTrue="1" operator="between">
      <formula>0</formula>
      <formula>0.5</formula>
    </cfRule>
  </conditionalFormatting>
  <conditionalFormatting sqref="R11">
    <cfRule type="cellIs" dxfId="1612" priority="212" operator="between">
      <formula>0.51</formula>
      <formula>0.75</formula>
    </cfRule>
  </conditionalFormatting>
  <conditionalFormatting sqref="S11">
    <cfRule type="cellIs" dxfId="1611" priority="211" operator="between">
      <formula>0.76</formula>
      <formula>0.95</formula>
    </cfRule>
  </conditionalFormatting>
  <conditionalFormatting sqref="T11">
    <cfRule type="cellIs" dxfId="1610" priority="210" operator="between">
      <formula>0.95</formula>
      <formula>1</formula>
    </cfRule>
  </conditionalFormatting>
  <conditionalFormatting sqref="U11">
    <cfRule type="cellIs" dxfId="1609" priority="209" operator="greaterThan">
      <formula>1</formula>
    </cfRule>
  </conditionalFormatting>
  <conditionalFormatting sqref="AD11">
    <cfRule type="cellIs" dxfId="1608" priority="208" stopIfTrue="1" operator="between">
      <formula>0</formula>
      <formula>0.5</formula>
    </cfRule>
  </conditionalFormatting>
  <conditionalFormatting sqref="AE11">
    <cfRule type="cellIs" dxfId="1607" priority="207" operator="between">
      <formula>0.51</formula>
      <formula>0.75</formula>
    </cfRule>
  </conditionalFormatting>
  <conditionalFormatting sqref="AF11">
    <cfRule type="cellIs" dxfId="1606" priority="206" operator="between">
      <formula>0.76</formula>
      <formula>0.95</formula>
    </cfRule>
  </conditionalFormatting>
  <conditionalFormatting sqref="AG11">
    <cfRule type="cellIs" dxfId="1605" priority="205" operator="between">
      <formula>0.95</formula>
      <formula>1</formula>
    </cfRule>
  </conditionalFormatting>
  <conditionalFormatting sqref="AH11">
    <cfRule type="cellIs" dxfId="1604" priority="204" operator="greaterThan">
      <formula>1</formula>
    </cfRule>
  </conditionalFormatting>
  <conditionalFormatting sqref="AQ11">
    <cfRule type="cellIs" dxfId="1603" priority="203" stopIfTrue="1" operator="between">
      <formula>0</formula>
      <formula>0.5</formula>
    </cfRule>
  </conditionalFormatting>
  <conditionalFormatting sqref="AR11">
    <cfRule type="cellIs" dxfId="1602" priority="202" operator="between">
      <formula>0.51</formula>
      <formula>0.75</formula>
    </cfRule>
  </conditionalFormatting>
  <conditionalFormatting sqref="AS11">
    <cfRule type="cellIs" dxfId="1601" priority="201" operator="between">
      <formula>0.76</formula>
      <formula>0.95</formula>
    </cfRule>
  </conditionalFormatting>
  <conditionalFormatting sqref="AT11">
    <cfRule type="cellIs" dxfId="1600" priority="200" operator="between">
      <formula>0.95</formula>
      <formula>1</formula>
    </cfRule>
  </conditionalFormatting>
  <conditionalFormatting sqref="AU11">
    <cfRule type="cellIs" dxfId="1599" priority="199" operator="greaterThan">
      <formula>1</formula>
    </cfRule>
  </conditionalFormatting>
  <conditionalFormatting sqref="K6">
    <cfRule type="cellIs" dxfId="1598" priority="198" operator="between">
      <formula>0.1251</formula>
      <formula>0.19</formula>
    </cfRule>
  </conditionalFormatting>
  <conditionalFormatting sqref="L6">
    <cfRule type="cellIs" dxfId="1597" priority="196" operator="between">
      <formula>0.191</formula>
      <formula>0.24</formula>
    </cfRule>
  </conditionalFormatting>
  <conditionalFormatting sqref="M6">
    <cfRule type="cellIs" dxfId="1596" priority="195" operator="between">
      <formula>0.2401</formula>
      <formula>0.26</formula>
    </cfRule>
  </conditionalFormatting>
  <conditionalFormatting sqref="N6">
    <cfRule type="cellIs" dxfId="1595" priority="194" operator="greaterThan">
      <formula>0.2601</formula>
    </cfRule>
  </conditionalFormatting>
  <conditionalFormatting sqref="J7">
    <cfRule type="cellIs" dxfId="1594" priority="193" stopIfTrue="1" operator="between">
      <formula>0</formula>
      <formula>0.125</formula>
    </cfRule>
  </conditionalFormatting>
  <conditionalFormatting sqref="K7">
    <cfRule type="cellIs" dxfId="1593" priority="192" operator="between">
      <formula>0.1251</formula>
      <formula>0.19</formula>
    </cfRule>
  </conditionalFormatting>
  <conditionalFormatting sqref="L7">
    <cfRule type="cellIs" dxfId="1592" priority="191" operator="between">
      <formula>0.191</formula>
      <formula>0.24</formula>
    </cfRule>
  </conditionalFormatting>
  <conditionalFormatting sqref="M7">
    <cfRule type="cellIs" dxfId="1591" priority="190" operator="between">
      <formula>0.2401</formula>
      <formula>0.26</formula>
    </cfRule>
  </conditionalFormatting>
  <conditionalFormatting sqref="J8">
    <cfRule type="cellIs" dxfId="1590" priority="188" stopIfTrue="1" operator="between">
      <formula>0</formula>
      <formula>0.125</formula>
    </cfRule>
  </conditionalFormatting>
  <conditionalFormatting sqref="K8">
    <cfRule type="cellIs" dxfId="1589" priority="187" operator="between">
      <formula>0.1251</formula>
      <formula>0.19</formula>
    </cfRule>
  </conditionalFormatting>
  <conditionalFormatting sqref="L8">
    <cfRule type="cellIs" dxfId="1588" priority="186" operator="between">
      <formula>0.191</formula>
      <formula>0.24</formula>
    </cfRule>
  </conditionalFormatting>
  <conditionalFormatting sqref="M8">
    <cfRule type="cellIs" dxfId="1587" priority="185" operator="between">
      <formula>0.2401</formula>
      <formula>0.26</formula>
    </cfRule>
  </conditionalFormatting>
  <conditionalFormatting sqref="J9">
    <cfRule type="cellIs" dxfId="1586" priority="183" stopIfTrue="1" operator="between">
      <formula>0</formula>
      <formula>0.125</formula>
    </cfRule>
  </conditionalFormatting>
  <conditionalFormatting sqref="K9">
    <cfRule type="cellIs" dxfId="1585" priority="182" operator="between">
      <formula>0.1251</formula>
      <formula>0.19</formula>
    </cfRule>
  </conditionalFormatting>
  <conditionalFormatting sqref="L9">
    <cfRule type="cellIs" dxfId="1584" priority="181" operator="between">
      <formula>0.191</formula>
      <formula>0.24</formula>
    </cfRule>
  </conditionalFormatting>
  <conditionalFormatting sqref="M9">
    <cfRule type="cellIs" dxfId="1583" priority="180" operator="between">
      <formula>0.2401</formula>
      <formula>0.26</formula>
    </cfRule>
  </conditionalFormatting>
  <conditionalFormatting sqref="J11">
    <cfRule type="cellIs" dxfId="1582" priority="178" stopIfTrue="1" operator="between">
      <formula>0</formula>
      <formula>0.125</formula>
    </cfRule>
  </conditionalFormatting>
  <conditionalFormatting sqref="K11">
    <cfRule type="cellIs" dxfId="1581" priority="177" operator="between">
      <formula>0.1251</formula>
      <formula>0.19</formula>
    </cfRule>
  </conditionalFormatting>
  <conditionalFormatting sqref="L11">
    <cfRule type="cellIs" dxfId="1580" priority="176" operator="between">
      <formula>0.191</formula>
      <formula>0.24</formula>
    </cfRule>
  </conditionalFormatting>
  <conditionalFormatting sqref="M11">
    <cfRule type="cellIs" dxfId="1579" priority="175" operator="between">
      <formula>0.2401</formula>
      <formula>0.26</formula>
    </cfRule>
  </conditionalFormatting>
  <conditionalFormatting sqref="N7">
    <cfRule type="cellIs" dxfId="1578" priority="173" operator="greaterThan">
      <formula>0.2601</formula>
    </cfRule>
  </conditionalFormatting>
  <conditionalFormatting sqref="N8">
    <cfRule type="cellIs" dxfId="1577" priority="172" operator="greaterThan">
      <formula>0.2601</formula>
    </cfRule>
  </conditionalFormatting>
  <conditionalFormatting sqref="N9">
    <cfRule type="cellIs" dxfId="1576" priority="171" operator="greaterThan">
      <formula>0.2601</formula>
    </cfRule>
  </conditionalFormatting>
  <conditionalFormatting sqref="N11">
    <cfRule type="cellIs" dxfId="1575" priority="170" operator="greaterThan">
      <formula>0.2601</formula>
    </cfRule>
  </conditionalFormatting>
  <conditionalFormatting sqref="X6">
    <cfRule type="cellIs" dxfId="1574" priority="169" operator="between">
      <formula>0.2551</formula>
      <formula>0.375</formula>
    </cfRule>
  </conditionalFormatting>
  <conditionalFormatting sqref="Y6">
    <cfRule type="cellIs" dxfId="1573" priority="168" operator="between">
      <formula>0.38</formula>
      <formula>0.475</formula>
    </cfRule>
  </conditionalFormatting>
  <conditionalFormatting sqref="Z6">
    <cfRule type="cellIs" dxfId="1572" priority="167" operator="between">
      <formula>0.48</formula>
      <formula>0.51</formula>
    </cfRule>
  </conditionalFormatting>
  <conditionalFormatting sqref="AA6">
    <cfRule type="cellIs" dxfId="1571" priority="166" operator="greaterThan">
      <formula>0.505</formula>
    </cfRule>
  </conditionalFormatting>
  <conditionalFormatting sqref="W7">
    <cfRule type="cellIs" dxfId="1570" priority="153" stopIfTrue="1" operator="between">
      <formula>0</formula>
      <formula>0.255</formula>
    </cfRule>
  </conditionalFormatting>
  <conditionalFormatting sqref="X7">
    <cfRule type="cellIs" dxfId="1569" priority="152" operator="between">
      <formula>0.2551</formula>
      <formula>0.375</formula>
    </cfRule>
  </conditionalFormatting>
  <conditionalFormatting sqref="Y7">
    <cfRule type="cellIs" dxfId="1568" priority="151" operator="between">
      <formula>0.38</formula>
      <formula>0.475</formula>
    </cfRule>
  </conditionalFormatting>
  <conditionalFormatting sqref="Z7">
    <cfRule type="cellIs" dxfId="1567" priority="150" operator="between">
      <formula>0.48</formula>
      <formula>0.51</formula>
    </cfRule>
  </conditionalFormatting>
  <conditionalFormatting sqref="AA7">
    <cfRule type="cellIs" dxfId="1566" priority="149" operator="greaterThan">
      <formula>0.505</formula>
    </cfRule>
  </conditionalFormatting>
  <conditionalFormatting sqref="W8">
    <cfRule type="cellIs" dxfId="1565" priority="148" stopIfTrue="1" operator="between">
      <formula>0</formula>
      <formula>0.255</formula>
    </cfRule>
  </conditionalFormatting>
  <conditionalFormatting sqref="X8">
    <cfRule type="cellIs" dxfId="1564" priority="147" operator="between">
      <formula>0.2551</formula>
      <formula>0.375</formula>
    </cfRule>
  </conditionalFormatting>
  <conditionalFormatting sqref="Y8">
    <cfRule type="cellIs" dxfId="1563" priority="146" operator="between">
      <formula>0.38</formula>
      <formula>0.475</formula>
    </cfRule>
  </conditionalFormatting>
  <conditionalFormatting sqref="Z8">
    <cfRule type="cellIs" dxfId="1562" priority="145" operator="between">
      <formula>0.48</formula>
      <formula>0.51</formula>
    </cfRule>
  </conditionalFormatting>
  <conditionalFormatting sqref="AA8">
    <cfRule type="cellIs" dxfId="1561" priority="144" operator="greaterThan">
      <formula>0.505</formula>
    </cfRule>
  </conditionalFormatting>
  <conditionalFormatting sqref="W9">
    <cfRule type="cellIs" dxfId="1560" priority="143" stopIfTrue="1" operator="between">
      <formula>0</formula>
      <formula>0.255</formula>
    </cfRule>
  </conditionalFormatting>
  <conditionalFormatting sqref="X9">
    <cfRule type="cellIs" dxfId="1559" priority="142" operator="between">
      <formula>0.2551</formula>
      <formula>0.375</formula>
    </cfRule>
  </conditionalFormatting>
  <conditionalFormatting sqref="Y9">
    <cfRule type="cellIs" dxfId="1558" priority="141" operator="between">
      <formula>0.38</formula>
      <formula>0.475</formula>
    </cfRule>
  </conditionalFormatting>
  <conditionalFormatting sqref="Z9">
    <cfRule type="cellIs" dxfId="1557" priority="140" operator="between">
      <formula>0.48</formula>
      <formula>0.51</formula>
    </cfRule>
  </conditionalFormatting>
  <conditionalFormatting sqref="AA9">
    <cfRule type="cellIs" dxfId="1556" priority="139" operator="greaterThan">
      <formula>0.505</formula>
    </cfRule>
  </conditionalFormatting>
  <conditionalFormatting sqref="W11">
    <cfRule type="cellIs" dxfId="1555" priority="138" stopIfTrue="1" operator="between">
      <formula>0</formula>
      <formula>0.255</formula>
    </cfRule>
  </conditionalFormatting>
  <conditionalFormatting sqref="X11">
    <cfRule type="cellIs" dxfId="1554" priority="137" operator="between">
      <formula>0.2551</formula>
      <formula>0.375</formula>
    </cfRule>
  </conditionalFormatting>
  <conditionalFormatting sqref="Y11">
    <cfRule type="cellIs" dxfId="1553" priority="136" operator="between">
      <formula>0.38</formula>
      <formula>0.475</formula>
    </cfRule>
  </conditionalFormatting>
  <conditionalFormatting sqref="Z11">
    <cfRule type="cellIs" dxfId="1552" priority="135" operator="between">
      <formula>0.48</formula>
      <formula>0.51</formula>
    </cfRule>
  </conditionalFormatting>
  <conditionalFormatting sqref="AA11">
    <cfRule type="cellIs" dxfId="1551" priority="134" operator="greaterThan">
      <formula>0.505</formula>
    </cfRule>
  </conditionalFormatting>
  <conditionalFormatting sqref="AK6">
    <cfRule type="cellIs" dxfId="1550" priority="133" operator="between">
      <formula>0.3751</formula>
      <formula>0.5625</formula>
    </cfRule>
  </conditionalFormatting>
  <conditionalFormatting sqref="AL6">
    <cfRule type="cellIs" dxfId="1549" priority="132" operator="between">
      <formula>0.563</formula>
      <formula>0.7125</formula>
    </cfRule>
  </conditionalFormatting>
  <conditionalFormatting sqref="AM6">
    <cfRule type="cellIs" dxfId="1548" priority="131" operator="between">
      <formula>0.713</formula>
      <formula>0.75</formula>
    </cfRule>
  </conditionalFormatting>
  <conditionalFormatting sqref="AN6">
    <cfRule type="cellIs" dxfId="1547" priority="130" operator="greaterThan">
      <formula>0.755</formula>
    </cfRule>
  </conditionalFormatting>
  <conditionalFormatting sqref="AJ7">
    <cfRule type="cellIs" dxfId="1546" priority="117" stopIfTrue="1" operator="between">
      <formula>0</formula>
      <formula>0.375</formula>
    </cfRule>
  </conditionalFormatting>
  <conditionalFormatting sqref="AK7">
    <cfRule type="cellIs" dxfId="1545" priority="116" operator="between">
      <formula>0.3751</formula>
      <formula>0.5625</formula>
    </cfRule>
  </conditionalFormatting>
  <conditionalFormatting sqref="AL7">
    <cfRule type="cellIs" dxfId="1544" priority="115" operator="between">
      <formula>0.563</formula>
      <formula>0.7125</formula>
    </cfRule>
  </conditionalFormatting>
  <conditionalFormatting sqref="AM7">
    <cfRule type="cellIs" dxfId="1543" priority="114" operator="between">
      <formula>0.713</formula>
      <formula>0.75</formula>
    </cfRule>
  </conditionalFormatting>
  <conditionalFormatting sqref="AN7">
    <cfRule type="cellIs" dxfId="1542" priority="113" operator="greaterThan">
      <formula>0.755</formula>
    </cfRule>
  </conditionalFormatting>
  <conditionalFormatting sqref="AJ8">
    <cfRule type="cellIs" dxfId="1541" priority="112" stopIfTrue="1" operator="between">
      <formula>0</formula>
      <formula>0.375</formula>
    </cfRule>
  </conditionalFormatting>
  <conditionalFormatting sqref="AK8">
    <cfRule type="cellIs" dxfId="1540" priority="111" operator="between">
      <formula>0.3751</formula>
      <formula>0.5625</formula>
    </cfRule>
  </conditionalFormatting>
  <conditionalFormatting sqref="AL8">
    <cfRule type="cellIs" dxfId="1539" priority="110" operator="between">
      <formula>0.563</formula>
      <formula>0.7125</formula>
    </cfRule>
  </conditionalFormatting>
  <conditionalFormatting sqref="AM8">
    <cfRule type="cellIs" dxfId="1538" priority="109" operator="between">
      <formula>0.713</formula>
      <formula>0.75</formula>
    </cfRule>
  </conditionalFormatting>
  <conditionalFormatting sqref="AN8">
    <cfRule type="cellIs" dxfId="1537" priority="108" operator="greaterThan">
      <formula>0.755</formula>
    </cfRule>
  </conditionalFormatting>
  <conditionalFormatting sqref="AJ9">
    <cfRule type="cellIs" dxfId="1536" priority="107" stopIfTrue="1" operator="between">
      <formula>0</formula>
      <formula>0.375</formula>
    </cfRule>
  </conditionalFormatting>
  <conditionalFormatting sqref="AK9">
    <cfRule type="cellIs" dxfId="1535" priority="106" operator="between">
      <formula>0.3751</formula>
      <formula>0.5625</formula>
    </cfRule>
  </conditionalFormatting>
  <conditionalFormatting sqref="AL9">
    <cfRule type="cellIs" dxfId="1534" priority="105" operator="between">
      <formula>0.563</formula>
      <formula>0.7125</formula>
    </cfRule>
  </conditionalFormatting>
  <conditionalFormatting sqref="AM9">
    <cfRule type="cellIs" dxfId="1533" priority="104" operator="between">
      <formula>0.713</formula>
      <formula>0.75</formula>
    </cfRule>
  </conditionalFormatting>
  <conditionalFormatting sqref="AN9">
    <cfRule type="cellIs" dxfId="1532" priority="103" operator="greaterThan">
      <formula>0.755</formula>
    </cfRule>
  </conditionalFormatting>
  <conditionalFormatting sqref="AJ11">
    <cfRule type="cellIs" dxfId="1531" priority="102" stopIfTrue="1" operator="between">
      <formula>0</formula>
      <formula>0.375</formula>
    </cfRule>
  </conditionalFormatting>
  <conditionalFormatting sqref="AK11">
    <cfRule type="cellIs" dxfId="1530" priority="101" operator="between">
      <formula>0.3751</formula>
      <formula>0.5625</formula>
    </cfRule>
  </conditionalFormatting>
  <conditionalFormatting sqref="AL11">
    <cfRule type="cellIs" dxfId="1529" priority="100" operator="between">
      <formula>0.563</formula>
      <formula>0.7125</formula>
    </cfRule>
  </conditionalFormatting>
  <conditionalFormatting sqref="AM11">
    <cfRule type="cellIs" dxfId="1528" priority="99" operator="between">
      <formula>0.713</formula>
      <formula>0.75</formula>
    </cfRule>
  </conditionalFormatting>
  <conditionalFormatting sqref="AN11">
    <cfRule type="cellIs" dxfId="1527" priority="98" operator="greaterThan">
      <formula>0.755</formula>
    </cfRule>
  </conditionalFormatting>
  <conditionalFormatting sqref="AX6">
    <cfRule type="cellIs" dxfId="1526" priority="81" operator="between">
      <formula>0.51</formula>
      <formula>0.75</formula>
    </cfRule>
  </conditionalFormatting>
  <conditionalFormatting sqref="AY6">
    <cfRule type="cellIs" dxfId="1525" priority="80" operator="between">
      <formula>0.76</formula>
      <formula>0.95</formula>
    </cfRule>
  </conditionalFormatting>
  <conditionalFormatting sqref="AZ6">
    <cfRule type="cellIs" dxfId="1524" priority="79" operator="between">
      <formula>0.95</formula>
      <formula>1</formula>
    </cfRule>
  </conditionalFormatting>
  <conditionalFormatting sqref="BA6">
    <cfRule type="cellIs" dxfId="1523" priority="78" operator="greaterThan">
      <formula>1</formula>
    </cfRule>
  </conditionalFormatting>
  <conditionalFormatting sqref="AW7">
    <cfRule type="cellIs" dxfId="1522" priority="65" stopIfTrue="1" operator="between">
      <formula>0</formula>
      <formula>0.5</formula>
    </cfRule>
  </conditionalFormatting>
  <conditionalFormatting sqref="AX7">
    <cfRule type="cellIs" dxfId="1521" priority="64" operator="between">
      <formula>0.51</formula>
      <formula>0.75</formula>
    </cfRule>
  </conditionalFormatting>
  <conditionalFormatting sqref="AY7">
    <cfRule type="cellIs" dxfId="1520" priority="63" operator="between">
      <formula>0.76</formula>
      <formula>0.95</formula>
    </cfRule>
  </conditionalFormatting>
  <conditionalFormatting sqref="AZ7">
    <cfRule type="cellIs" dxfId="1519" priority="62" operator="between">
      <formula>0.95</formula>
      <formula>1</formula>
    </cfRule>
  </conditionalFormatting>
  <conditionalFormatting sqref="BA7">
    <cfRule type="cellIs" dxfId="1518" priority="61" operator="greaterThan">
      <formula>1</formula>
    </cfRule>
  </conditionalFormatting>
  <conditionalFormatting sqref="AW8">
    <cfRule type="cellIs" dxfId="1517" priority="60" stopIfTrue="1" operator="between">
      <formula>0</formula>
      <formula>0.5</formula>
    </cfRule>
  </conditionalFormatting>
  <conditionalFormatting sqref="AX8">
    <cfRule type="cellIs" dxfId="1516" priority="59" operator="between">
      <formula>0.51</formula>
      <formula>0.75</formula>
    </cfRule>
  </conditionalFormatting>
  <conditionalFormatting sqref="AY8">
    <cfRule type="cellIs" dxfId="1515" priority="58" operator="between">
      <formula>0.76</formula>
      <formula>0.95</formula>
    </cfRule>
  </conditionalFormatting>
  <conditionalFormatting sqref="AZ8">
    <cfRule type="cellIs" dxfId="1514" priority="57" operator="between">
      <formula>0.95</formula>
      <formula>1</formula>
    </cfRule>
  </conditionalFormatting>
  <conditionalFormatting sqref="BA8">
    <cfRule type="cellIs" dxfId="1513" priority="56" operator="greaterThan">
      <formula>1</formula>
    </cfRule>
  </conditionalFormatting>
  <conditionalFormatting sqref="AW9">
    <cfRule type="cellIs" dxfId="1512" priority="55" stopIfTrue="1" operator="between">
      <formula>0</formula>
      <formula>0.5</formula>
    </cfRule>
  </conditionalFormatting>
  <conditionalFormatting sqref="AX9">
    <cfRule type="cellIs" dxfId="1511" priority="54" operator="between">
      <formula>0.51</formula>
      <formula>0.75</formula>
    </cfRule>
  </conditionalFormatting>
  <conditionalFormatting sqref="AY9">
    <cfRule type="cellIs" dxfId="1510" priority="53" operator="between">
      <formula>0.76</formula>
      <formula>0.95</formula>
    </cfRule>
  </conditionalFormatting>
  <conditionalFormatting sqref="AZ9">
    <cfRule type="cellIs" dxfId="1509" priority="52" operator="between">
      <formula>0.95</formula>
      <formula>1</formula>
    </cfRule>
  </conditionalFormatting>
  <conditionalFormatting sqref="BA9">
    <cfRule type="cellIs" dxfId="1508" priority="51" operator="greaterThan">
      <formula>1</formula>
    </cfRule>
  </conditionalFormatting>
  <conditionalFormatting sqref="AW11">
    <cfRule type="cellIs" dxfId="1507" priority="50" stopIfTrue="1" operator="between">
      <formula>0</formula>
      <formula>0.5</formula>
    </cfRule>
  </conditionalFormatting>
  <conditionalFormatting sqref="AX11">
    <cfRule type="cellIs" dxfId="1506" priority="49" operator="between">
      <formula>0.51</formula>
      <formula>0.75</formula>
    </cfRule>
  </conditionalFormatting>
  <conditionalFormatting sqref="AY11">
    <cfRule type="cellIs" dxfId="1505" priority="48" operator="between">
      <formula>0.76</formula>
      <formula>0.95</formula>
    </cfRule>
  </conditionalFormatting>
  <conditionalFormatting sqref="AZ11">
    <cfRule type="cellIs" dxfId="1504" priority="47" operator="between">
      <formula>0.95</formula>
      <formula>1</formula>
    </cfRule>
  </conditionalFormatting>
  <conditionalFormatting sqref="BA11">
    <cfRule type="cellIs" dxfId="1503" priority="46" operator="greaterThan">
      <formula>1</formula>
    </cfRule>
  </conditionalFormatting>
  <conditionalFormatting sqref="D13">
    <cfRule type="cellIs" dxfId="1502" priority="45" stopIfTrue="1" operator="between">
      <formula>0</formula>
      <formula>0.5</formula>
    </cfRule>
  </conditionalFormatting>
  <conditionalFormatting sqref="E13">
    <cfRule type="cellIs" dxfId="1501" priority="44" operator="between">
      <formula>0.51</formula>
      <formula>0.75</formula>
    </cfRule>
  </conditionalFormatting>
  <conditionalFormatting sqref="F13">
    <cfRule type="cellIs" dxfId="1500" priority="43" operator="between">
      <formula>0.76</formula>
      <formula>0.95</formula>
    </cfRule>
  </conditionalFormatting>
  <conditionalFormatting sqref="G13">
    <cfRule type="cellIs" dxfId="1499" priority="42" operator="between">
      <formula>0.95</formula>
      <formula>1</formula>
    </cfRule>
  </conditionalFormatting>
  <conditionalFormatting sqref="H13">
    <cfRule type="cellIs" dxfId="1498" priority="41" operator="greaterThan">
      <formula>1</formula>
    </cfRule>
  </conditionalFormatting>
  <conditionalFormatting sqref="Q13">
    <cfRule type="cellIs" dxfId="1497" priority="40" stopIfTrue="1" operator="between">
      <formula>0</formula>
      <formula>0.5</formula>
    </cfRule>
  </conditionalFormatting>
  <conditionalFormatting sqref="R13">
    <cfRule type="cellIs" dxfId="1496" priority="39" operator="between">
      <formula>0.51</formula>
      <formula>0.75</formula>
    </cfRule>
  </conditionalFormatting>
  <conditionalFormatting sqref="S13">
    <cfRule type="cellIs" dxfId="1495" priority="38" operator="between">
      <formula>0.76</formula>
      <formula>0.95</formula>
    </cfRule>
  </conditionalFormatting>
  <conditionalFormatting sqref="T13">
    <cfRule type="cellIs" dxfId="1494" priority="37" operator="between">
      <formula>0.95</formula>
      <formula>1</formula>
    </cfRule>
  </conditionalFormatting>
  <conditionalFormatting sqref="U13">
    <cfRule type="cellIs" dxfId="1493" priority="36" operator="greaterThan">
      <formula>1</formula>
    </cfRule>
  </conditionalFormatting>
  <conditionalFormatting sqref="AD13">
    <cfRule type="cellIs" dxfId="1492" priority="35" stopIfTrue="1" operator="between">
      <formula>0</formula>
      <formula>0.5</formula>
    </cfRule>
  </conditionalFormatting>
  <conditionalFormatting sqref="AE13">
    <cfRule type="cellIs" dxfId="1491" priority="34" operator="between">
      <formula>0.51</formula>
      <formula>0.75</formula>
    </cfRule>
  </conditionalFormatting>
  <conditionalFormatting sqref="AF13">
    <cfRule type="cellIs" dxfId="1490" priority="33" operator="between">
      <formula>0.76</formula>
      <formula>0.95</formula>
    </cfRule>
  </conditionalFormatting>
  <conditionalFormatting sqref="AG13">
    <cfRule type="cellIs" dxfId="1489" priority="32" operator="between">
      <formula>0.95</formula>
      <formula>1</formula>
    </cfRule>
  </conditionalFormatting>
  <conditionalFormatting sqref="AH13">
    <cfRule type="cellIs" dxfId="1488" priority="31" operator="greaterThan">
      <formula>1</formula>
    </cfRule>
  </conditionalFormatting>
  <conditionalFormatting sqref="AQ13">
    <cfRule type="cellIs" dxfId="1487" priority="30" stopIfTrue="1" operator="between">
      <formula>0</formula>
      <formula>0.5</formula>
    </cfRule>
  </conditionalFormatting>
  <conditionalFormatting sqref="AR13">
    <cfRule type="cellIs" dxfId="1486" priority="29" operator="between">
      <formula>0.51</formula>
      <formula>0.75</formula>
    </cfRule>
  </conditionalFormatting>
  <conditionalFormatting sqref="AS13">
    <cfRule type="cellIs" dxfId="1485" priority="28" operator="between">
      <formula>0.76</formula>
      <formula>0.95</formula>
    </cfRule>
  </conditionalFormatting>
  <conditionalFormatting sqref="AT13">
    <cfRule type="cellIs" dxfId="1484" priority="27" operator="between">
      <formula>0.95</formula>
      <formula>1</formula>
    </cfRule>
  </conditionalFormatting>
  <conditionalFormatting sqref="AU13">
    <cfRule type="cellIs" dxfId="1483" priority="26" operator="greaterThan">
      <formula>1</formula>
    </cfRule>
  </conditionalFormatting>
  <conditionalFormatting sqref="J13">
    <cfRule type="cellIs" dxfId="1482" priority="25" stopIfTrue="1" operator="between">
      <formula>0</formula>
      <formula>0.125</formula>
    </cfRule>
  </conditionalFormatting>
  <conditionalFormatting sqref="K13">
    <cfRule type="cellIs" dxfId="1481" priority="24" operator="between">
      <formula>0.1251</formula>
      <formula>0.19</formula>
    </cfRule>
  </conditionalFormatting>
  <conditionalFormatting sqref="L13">
    <cfRule type="cellIs" dxfId="1480" priority="23" operator="between">
      <formula>0.191</formula>
      <formula>0.24</formula>
    </cfRule>
  </conditionalFormatting>
  <conditionalFormatting sqref="M13">
    <cfRule type="cellIs" dxfId="1479" priority="22" operator="between">
      <formula>0.2401</formula>
      <formula>0.26</formula>
    </cfRule>
  </conditionalFormatting>
  <conditionalFormatting sqref="N13">
    <cfRule type="cellIs" dxfId="1478" priority="21" operator="greaterThan">
      <formula>0.2601</formula>
    </cfRule>
  </conditionalFormatting>
  <conditionalFormatting sqref="AJ13">
    <cfRule type="cellIs" dxfId="1477" priority="15" stopIfTrue="1" operator="between">
      <formula>0</formula>
      <formula>0.375</formula>
    </cfRule>
  </conditionalFormatting>
  <conditionalFormatting sqref="AK13">
    <cfRule type="cellIs" dxfId="1476" priority="14" operator="between">
      <formula>0.3751</formula>
      <formula>0.5625</formula>
    </cfRule>
  </conditionalFormatting>
  <conditionalFormatting sqref="AL13">
    <cfRule type="cellIs" dxfId="1475" priority="13" operator="between">
      <formula>0.563</formula>
      <formula>0.7125</formula>
    </cfRule>
  </conditionalFormatting>
  <conditionalFormatting sqref="AM13">
    <cfRule type="cellIs" dxfId="1474" priority="12" operator="between">
      <formula>0.713</formula>
      <formula>0.75</formula>
    </cfRule>
  </conditionalFormatting>
  <conditionalFormatting sqref="AN13">
    <cfRule type="cellIs" dxfId="1473" priority="11" operator="greaterThan">
      <formula>0.755</formula>
    </cfRule>
  </conditionalFormatting>
  <conditionalFormatting sqref="AW13">
    <cfRule type="cellIs" dxfId="1472" priority="10" stopIfTrue="1" operator="between">
      <formula>0</formula>
      <formula>0.5</formula>
    </cfRule>
  </conditionalFormatting>
  <conditionalFormatting sqref="AX13">
    <cfRule type="cellIs" dxfId="1471" priority="9" operator="between">
      <formula>0.51</formula>
      <formula>0.75</formula>
    </cfRule>
  </conditionalFormatting>
  <conditionalFormatting sqref="AY13">
    <cfRule type="cellIs" dxfId="1470" priority="8" operator="between">
      <formula>0.76</formula>
      <formula>0.95</formula>
    </cfRule>
  </conditionalFormatting>
  <conditionalFormatting sqref="AZ13">
    <cfRule type="cellIs" dxfId="1469" priority="7" operator="between">
      <formula>0.95</formula>
      <formula>1</formula>
    </cfRule>
  </conditionalFormatting>
  <conditionalFormatting sqref="BA13">
    <cfRule type="cellIs" dxfId="1468" priority="6" operator="greaterThan">
      <formula>1</formula>
    </cfRule>
  </conditionalFormatting>
  <conditionalFormatting sqref="W13">
    <cfRule type="cellIs" dxfId="1467" priority="5" stopIfTrue="1" operator="between">
      <formula>0</formula>
      <formula>0.255</formula>
    </cfRule>
  </conditionalFormatting>
  <conditionalFormatting sqref="X13">
    <cfRule type="cellIs" dxfId="1466" priority="4" operator="between">
      <formula>0.2551</formula>
      <formula>0.375</formula>
    </cfRule>
  </conditionalFormatting>
  <conditionalFormatting sqref="Y13">
    <cfRule type="cellIs" dxfId="1465" priority="3" operator="between">
      <formula>0.3751</formula>
      <formula>0.475</formula>
    </cfRule>
  </conditionalFormatting>
  <conditionalFormatting sqref="Z13">
    <cfRule type="cellIs" dxfId="1464" priority="2" operator="between">
      <formula>0.48</formula>
      <formula>0.51</formula>
    </cfRule>
  </conditionalFormatting>
  <conditionalFormatting sqref="AA13">
    <cfRule type="cellIs" dxfId="1463" priority="1" operator="greaterThan">
      <formula>0.505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9643-7AD4-4EEB-A278-7E3324F31F97}">
  <dimension ref="A1:BK20"/>
  <sheetViews>
    <sheetView showGridLines="0" workbookViewId="0">
      <selection activeCell="C14" sqref="C14"/>
    </sheetView>
  </sheetViews>
  <sheetFormatPr baseColWidth="10" defaultRowHeight="15" x14ac:dyDescent="0.25"/>
  <cols>
    <col min="1" max="1" width="65.7109375" customWidth="1"/>
    <col min="2" max="2" width="2.28515625" customWidth="1"/>
    <col min="3" max="3" width="21.7109375" customWidth="1"/>
    <col min="4" max="8" width="3.28515625" customWidth="1"/>
    <col min="9" max="10" width="11.7109375" customWidth="1"/>
    <col min="11" max="15" width="3.28515625" customWidth="1"/>
    <col min="16" max="16" width="28.7109375" customWidth="1"/>
    <col min="17" max="17" width="2.7109375" customWidth="1"/>
    <col min="18" max="18" width="11.7109375" customWidth="1"/>
    <col min="19" max="23" width="3.28515625" customWidth="1"/>
    <col min="24" max="25" width="11.7109375" customWidth="1"/>
    <col min="26" max="30" width="3.28515625" customWidth="1"/>
    <col min="31" max="31" width="29.5703125" customWidth="1"/>
    <col min="32" max="32" width="3.140625" customWidth="1"/>
    <col min="33" max="33" width="11.7109375" customWidth="1"/>
    <col min="34" max="38" width="3.28515625" customWidth="1"/>
    <col min="39" max="40" width="11.7109375" customWidth="1"/>
    <col min="41" max="45" width="3.28515625" customWidth="1"/>
    <col min="46" max="46" width="28.5703125" customWidth="1"/>
    <col min="47" max="47" width="3.140625" customWidth="1"/>
    <col min="48" max="48" width="11.7109375" customWidth="1"/>
    <col min="49" max="53" width="3.28515625" customWidth="1"/>
    <col min="54" max="54" width="20.7109375" customWidth="1"/>
    <col min="55" max="59" width="3.28515625" customWidth="1"/>
    <col min="60" max="60" width="28.5703125" customWidth="1"/>
  </cols>
  <sheetData>
    <row r="1" spans="1:63" ht="15" customHeight="1" x14ac:dyDescent="0.25">
      <c r="A1" s="1238"/>
      <c r="B1" s="1230" t="s">
        <v>954</v>
      </c>
      <c r="C1" s="1231"/>
      <c r="D1" s="1231"/>
      <c r="E1" s="1231"/>
      <c r="F1" s="1231"/>
      <c r="G1" s="1231"/>
      <c r="H1" s="1195"/>
      <c r="I1" s="1196" t="s">
        <v>955</v>
      </c>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c r="AN1" s="1197"/>
      <c r="AO1" s="1197"/>
      <c r="AP1" s="1197"/>
      <c r="AQ1" s="1197"/>
      <c r="AR1" s="1197"/>
      <c r="AS1" s="1197"/>
      <c r="AT1" s="1197"/>
      <c r="AU1" s="1197"/>
      <c r="AV1" s="1221"/>
      <c r="AW1" s="1222"/>
      <c r="AX1" s="1222"/>
      <c r="AY1" s="1222"/>
      <c r="AZ1" s="1222"/>
      <c r="BA1" s="1222"/>
      <c r="BB1" s="1222"/>
      <c r="BC1" s="1222"/>
      <c r="BD1" s="1222"/>
      <c r="BE1" s="1222"/>
      <c r="BF1" s="1222"/>
      <c r="BG1" s="1223"/>
      <c r="BH1" s="446"/>
      <c r="BI1" s="446"/>
      <c r="BJ1" s="446"/>
      <c r="BK1" s="446"/>
    </row>
    <row r="2" spans="1:63" ht="15" customHeight="1" x14ac:dyDescent="0.25">
      <c r="A2" s="1239"/>
      <c r="B2" s="1232" t="s">
        <v>956</v>
      </c>
      <c r="C2" s="1233"/>
      <c r="D2" s="1233"/>
      <c r="E2" s="1233"/>
      <c r="F2" s="1233"/>
      <c r="G2" s="1233"/>
      <c r="H2" s="1200"/>
      <c r="I2" s="1201" t="s">
        <v>800</v>
      </c>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2"/>
      <c r="AO2" s="1202"/>
      <c r="AP2" s="1202"/>
      <c r="AQ2" s="1202"/>
      <c r="AR2" s="1202"/>
      <c r="AS2" s="1202"/>
      <c r="AT2" s="1202"/>
      <c r="AU2" s="1202"/>
      <c r="AV2" s="1224"/>
      <c r="AW2" s="1225"/>
      <c r="AX2" s="1225"/>
      <c r="AY2" s="1225"/>
      <c r="AZ2" s="1225"/>
      <c r="BA2" s="1225"/>
      <c r="BB2" s="1225"/>
      <c r="BC2" s="1225"/>
      <c r="BD2" s="1225"/>
      <c r="BE2" s="1225"/>
      <c r="BF2" s="1225"/>
      <c r="BG2" s="1226"/>
      <c r="BH2" s="446"/>
      <c r="BI2" s="446"/>
      <c r="BJ2" s="446"/>
      <c r="BK2" s="446"/>
    </row>
    <row r="3" spans="1:63" ht="15.75" customHeight="1" thickBot="1" x14ac:dyDescent="0.3">
      <c r="A3" s="1240"/>
      <c r="B3" s="1234" t="s">
        <v>852</v>
      </c>
      <c r="C3" s="1210"/>
      <c r="D3" s="1210"/>
      <c r="E3" s="1210"/>
      <c r="F3" s="1210"/>
      <c r="G3" s="1210"/>
      <c r="H3" s="1205"/>
      <c r="I3" s="1207" t="s">
        <v>960</v>
      </c>
      <c r="J3" s="1210"/>
      <c r="K3" s="1210"/>
      <c r="L3" s="1210"/>
      <c r="M3" s="1210"/>
      <c r="N3" s="1210"/>
      <c r="O3" s="1205"/>
      <c r="P3" s="932"/>
      <c r="Q3" s="1235" t="s">
        <v>824</v>
      </c>
      <c r="R3" s="1236"/>
      <c r="S3" s="1236"/>
      <c r="T3" s="1236"/>
      <c r="U3" s="1236"/>
      <c r="V3" s="1236"/>
      <c r="W3" s="1236"/>
      <c r="X3" s="1236"/>
      <c r="Y3" s="1236"/>
      <c r="Z3" s="1236"/>
      <c r="AA3" s="1236"/>
      <c r="AB3" s="1236"/>
      <c r="AC3" s="1236"/>
      <c r="AD3" s="1236"/>
      <c r="AE3" s="1236"/>
      <c r="AF3" s="1236"/>
      <c r="AG3" s="1236"/>
      <c r="AH3" s="1236"/>
      <c r="AI3" s="1236"/>
      <c r="AJ3" s="1236"/>
      <c r="AK3" s="1236"/>
      <c r="AL3" s="1237"/>
      <c r="AM3" s="867" t="s">
        <v>959</v>
      </c>
      <c r="AN3" s="869"/>
      <c r="AO3" s="1207">
        <v>1</v>
      </c>
      <c r="AP3" s="1210"/>
      <c r="AQ3" s="1210"/>
      <c r="AR3" s="1210"/>
      <c r="AS3" s="1210"/>
      <c r="AT3" s="1210"/>
      <c r="AU3" s="1210"/>
      <c r="AV3" s="1227"/>
      <c r="AW3" s="1228"/>
      <c r="AX3" s="1228"/>
      <c r="AY3" s="1228"/>
      <c r="AZ3" s="1228"/>
      <c r="BA3" s="1228"/>
      <c r="BB3" s="1228"/>
      <c r="BC3" s="1228"/>
      <c r="BD3" s="1228"/>
      <c r="BE3" s="1228"/>
      <c r="BF3" s="1228"/>
      <c r="BG3" s="1229"/>
      <c r="BH3" s="446"/>
      <c r="BI3" s="446"/>
      <c r="BJ3" s="446"/>
      <c r="BK3" s="446"/>
    </row>
    <row r="4" spans="1:63" ht="15.75" thickBot="1" x14ac:dyDescent="0.3"/>
    <row r="5" spans="1:63" ht="37.5" customHeight="1" thickBot="1" x14ac:dyDescent="0.3">
      <c r="A5" s="289" t="s">
        <v>785</v>
      </c>
      <c r="B5" s="290"/>
      <c r="C5" s="1241" t="s">
        <v>1110</v>
      </c>
      <c r="D5" s="1242"/>
      <c r="E5" s="1242"/>
      <c r="F5" s="1242"/>
      <c r="G5" s="1242"/>
      <c r="H5" s="1243"/>
      <c r="I5" s="1244" t="s">
        <v>1111</v>
      </c>
      <c r="J5" s="1220"/>
      <c r="K5" s="1220"/>
      <c r="L5" s="1220"/>
      <c r="M5" s="1220"/>
      <c r="N5" s="1220"/>
      <c r="O5" s="1220"/>
      <c r="P5" s="908" t="s">
        <v>1203</v>
      </c>
      <c r="Q5" s="164"/>
      <c r="R5" s="1241" t="s">
        <v>1112</v>
      </c>
      <c r="S5" s="1242"/>
      <c r="T5" s="1242"/>
      <c r="U5" s="1242"/>
      <c r="V5" s="1242"/>
      <c r="W5" s="1243"/>
      <c r="X5" s="1241" t="s">
        <v>1113</v>
      </c>
      <c r="Y5" s="1242"/>
      <c r="Z5" s="1242"/>
      <c r="AA5" s="1242"/>
      <c r="AB5" s="1242"/>
      <c r="AC5" s="1242"/>
      <c r="AD5" s="1243"/>
      <c r="AE5" s="908" t="s">
        <v>1203</v>
      </c>
      <c r="AF5" s="294"/>
      <c r="AG5" s="1241" t="s">
        <v>1114</v>
      </c>
      <c r="AH5" s="1242"/>
      <c r="AI5" s="1242"/>
      <c r="AJ5" s="1242"/>
      <c r="AK5" s="1242"/>
      <c r="AL5" s="1243"/>
      <c r="AM5" s="1244" t="s">
        <v>1115</v>
      </c>
      <c r="AN5" s="1220"/>
      <c r="AO5" s="1220"/>
      <c r="AP5" s="1220"/>
      <c r="AQ5" s="1220"/>
      <c r="AR5" s="1220"/>
      <c r="AS5" s="1220"/>
      <c r="AT5" s="908" t="s">
        <v>1203</v>
      </c>
      <c r="AU5" s="294"/>
      <c r="AV5" s="1216" t="s">
        <v>1116</v>
      </c>
      <c r="AW5" s="1217"/>
      <c r="AX5" s="1217"/>
      <c r="AY5" s="1217"/>
      <c r="AZ5" s="1217"/>
      <c r="BA5" s="1218"/>
      <c r="BB5" s="1219" t="s">
        <v>1117</v>
      </c>
      <c r="BC5" s="1220"/>
      <c r="BD5" s="1220"/>
      <c r="BE5" s="1220"/>
      <c r="BF5" s="1220"/>
      <c r="BG5" s="1220"/>
      <c r="BH5" s="908" t="s">
        <v>1203</v>
      </c>
    </row>
    <row r="6" spans="1:63" ht="18" x14ac:dyDescent="0.25">
      <c r="A6" s="291" t="s">
        <v>825</v>
      </c>
      <c r="B6" s="290"/>
      <c r="C6" s="584">
        <f>+'Cuadro Mando Integral Detallado'!J107</f>
        <v>0.64241142816052199</v>
      </c>
      <c r="D6" s="798">
        <f>+C6</f>
        <v>0.64241142816052199</v>
      </c>
      <c r="E6" s="795">
        <f>+C6</f>
        <v>0.64241142816052199</v>
      </c>
      <c r="F6" s="795">
        <f>+C6</f>
        <v>0.64241142816052199</v>
      </c>
      <c r="G6" s="795">
        <f>+C6</f>
        <v>0.64241142816052199</v>
      </c>
      <c r="H6" s="580">
        <f>+C6</f>
        <v>0.64241142816052199</v>
      </c>
      <c r="I6" s="1398">
        <f>+'Cuadro Mando Integral Detallado'!L107</f>
        <v>0.119541967151093</v>
      </c>
      <c r="J6" s="1398">
        <f>+'Cuadro Mando Integral Detallado'!M107</f>
        <v>0.119541967151093</v>
      </c>
      <c r="K6" s="807">
        <f>+I6</f>
        <v>0.119541967151093</v>
      </c>
      <c r="L6" s="808">
        <f>+I6</f>
        <v>0.119541967151093</v>
      </c>
      <c r="M6" s="808">
        <f>+I6</f>
        <v>0.119541967151093</v>
      </c>
      <c r="N6" s="808">
        <f>+I6</f>
        <v>0.119541967151093</v>
      </c>
      <c r="O6" s="590">
        <f>+I6</f>
        <v>0.119541967151093</v>
      </c>
      <c r="P6" s="826">
        <f>COUNT('Cuadro Mando Integral Detallado'!N15:N105)/COUNT('Cuadro Mando Integral Detallado'!I15:I31,'Cuadro Mando Integral Detallado'!I35:I36,'Cuadro Mando Integral Detallado'!I38:I64,'Cuadro Mando Integral Detallado'!I66,'Cuadro Mando Integral Detallado'!I69:I72,'Cuadro Mando Integral Detallado'!I75,'Cuadro Mando Integral Detallado'!I78:I82,'Cuadro Mando Integral Detallado'!I85:I97,'Cuadro Mando Integral Detallado'!I99:I104)</f>
        <v>0.14285714285714285</v>
      </c>
      <c r="Q6" s="174"/>
      <c r="R6" s="584">
        <f>+'Cuadro Mando Integral Detallado'!Q107</f>
        <v>0.59208726438006409</v>
      </c>
      <c r="S6" s="795">
        <f>+R6</f>
        <v>0.59208726438006409</v>
      </c>
      <c r="T6" s="795">
        <f>+R6</f>
        <v>0.59208726438006409</v>
      </c>
      <c r="U6" s="795">
        <f>+R6</f>
        <v>0.59208726438006409</v>
      </c>
      <c r="V6" s="795">
        <f>+R6</f>
        <v>0.59208726438006409</v>
      </c>
      <c r="W6" s="580">
        <f>+R6</f>
        <v>0.59208726438006409</v>
      </c>
      <c r="X6" s="815">
        <f>+'Cuadro Mando Integral Detallado'!S107</f>
        <v>0.25823826783582532</v>
      </c>
      <c r="Y6" s="815">
        <f>+'Cuadro Mando Integral Detallado'!T107</f>
        <v>0.28615591841267135</v>
      </c>
      <c r="Z6" s="807">
        <f>+X6</f>
        <v>0.25823826783582532</v>
      </c>
      <c r="AA6" s="808">
        <f>+X6</f>
        <v>0.25823826783582532</v>
      </c>
      <c r="AB6" s="808">
        <f>+X6</f>
        <v>0.25823826783582532</v>
      </c>
      <c r="AC6" s="808">
        <f>+X6</f>
        <v>0.25823826783582532</v>
      </c>
      <c r="AD6" s="905">
        <f>+X6</f>
        <v>0.25823826783582532</v>
      </c>
      <c r="AE6" s="826">
        <f>COUNT('Cuadro Mando Integral Detallado'!U15:U105)/COUNT('Cuadro Mando Integral Detallado'!P15:P17,'Cuadro Mando Integral Detallado'!P18:P31,'Cuadro Mando Integral Detallado'!P35:P36,'Cuadro Mando Integral Detallado'!P38:P64,'Cuadro Mando Integral Detallado'!P66:P67,'Cuadro Mando Integral Detallado'!P69:P72,'Cuadro Mando Integral Detallado'!P74:P76,'Cuadro Mando Integral Detallado'!P78:P79,'Cuadro Mando Integral Detallado'!P81:P82,'Cuadro Mando Integral Detallado'!P85:P97,'Cuadro Mando Integral Detallado'!P99:P101,'Cuadro Mando Integral Detallado'!P103:P104)</f>
        <v>0.16666666666666666</v>
      </c>
      <c r="AF6" s="585"/>
      <c r="AG6" s="584">
        <f>+'Cuadro Mando Integral Detallado'!X107</f>
        <v>0</v>
      </c>
      <c r="AH6" s="798">
        <f>+AG6</f>
        <v>0</v>
      </c>
      <c r="AI6" s="795">
        <f>+AG6</f>
        <v>0</v>
      </c>
      <c r="AJ6" s="795">
        <f>+AG6</f>
        <v>0</v>
      </c>
      <c r="AK6" s="795">
        <f>+AG6</f>
        <v>0</v>
      </c>
      <c r="AL6" s="580">
        <f>+AG6</f>
        <v>0</v>
      </c>
      <c r="AM6" s="584">
        <f>+'Cuadro Mando Integral Detallado'!Z107</f>
        <v>0.27026807047008905</v>
      </c>
      <c r="AN6" s="815">
        <f>+'Cuadro Mando Integral Detallado'!AA107</f>
        <v>0.2770247722318413</v>
      </c>
      <c r="AO6" s="819">
        <f>+AM6</f>
        <v>0.27026807047008905</v>
      </c>
      <c r="AP6" s="808">
        <f>+AM6</f>
        <v>0.27026807047008905</v>
      </c>
      <c r="AQ6" s="808">
        <f>+AM6</f>
        <v>0.27026807047008905</v>
      </c>
      <c r="AR6" s="808">
        <f>+AM6</f>
        <v>0.27026807047008905</v>
      </c>
      <c r="AS6" s="590">
        <f>+AM6</f>
        <v>0.27026807047008905</v>
      </c>
      <c r="AT6" s="826">
        <f>COUNT('Cuadro Mando Integral Detallado'!AB15:AB105)/COUNT('Cuadro Mando Integral Detallado'!W15:W17,'Cuadro Mando Integral Detallado'!W18:W31,'Cuadro Mando Integral Detallado'!W35:W36,'Cuadro Mando Integral Detallado'!W38:W64,'Cuadro Mando Integral Detallado'!W66:W67,'Cuadro Mando Integral Detallado'!W69:W72,'Cuadro Mando Integral Detallado'!W74:W76,'Cuadro Mando Integral Detallado'!W78:W79,'Cuadro Mando Integral Detallado'!W81:W82,'Cuadro Mando Integral Detallado'!W85:W97,'Cuadro Mando Integral Detallado'!W99:W101,'Cuadro Mando Integral Detallado'!W103:W104)</f>
        <v>0</v>
      </c>
      <c r="AU6" s="585"/>
      <c r="AV6" s="584">
        <f>+'Cuadro Mando Integral Detallado'!AE107</f>
        <v>0</v>
      </c>
      <c r="AW6" s="798">
        <f>+AV6</f>
        <v>0</v>
      </c>
      <c r="AX6" s="795">
        <f>+AV6</f>
        <v>0</v>
      </c>
      <c r="AY6" s="795">
        <f>+AV6</f>
        <v>0</v>
      </c>
      <c r="AZ6" s="795">
        <f>+AV6</f>
        <v>0</v>
      </c>
      <c r="BA6" s="580">
        <f>+AV6</f>
        <v>0</v>
      </c>
      <c r="BB6" s="815">
        <f>+'Cuadro Mando Integral Detallado'!AG107</f>
        <v>0.2691182476826845</v>
      </c>
      <c r="BC6" s="819">
        <f>+BB6</f>
        <v>0.2691182476826845</v>
      </c>
      <c r="BD6" s="808">
        <f>+BB6</f>
        <v>0.2691182476826845</v>
      </c>
      <c r="BE6" s="808">
        <f>+BB6</f>
        <v>0.2691182476826845</v>
      </c>
      <c r="BF6" s="808">
        <f>+BB6</f>
        <v>0.2691182476826845</v>
      </c>
      <c r="BG6" s="590">
        <f>+BB6</f>
        <v>0.2691182476826845</v>
      </c>
      <c r="BH6" s="826">
        <f>COUNT('Cuadro Mando Integral Detallado'!AI15:AI105)/COUNT('Cuadro Mando Integral Detallado'!AD15:AD17,'Cuadro Mando Integral Detallado'!AD18:AD31,'Cuadro Mando Integral Detallado'!AD35:AD36,'Cuadro Mando Integral Detallado'!AD38:AD64,'Cuadro Mando Integral Detallado'!AD66:AD67,'Cuadro Mando Integral Detallado'!AD69:AD72,'Cuadro Mando Integral Detallado'!AD74:AD76,'Cuadro Mando Integral Detallado'!AD78:AD79,'Cuadro Mando Integral Detallado'!AD81:AD82,'Cuadro Mando Integral Detallado'!AD85:AD97,'Cuadro Mando Integral Detallado'!AD99:AD101,'Cuadro Mando Integral Detallado'!AD103:AD104)</f>
        <v>0</v>
      </c>
    </row>
    <row r="7" spans="1:63" ht="18" x14ac:dyDescent="0.25">
      <c r="A7" s="292" t="s">
        <v>826</v>
      </c>
      <c r="B7" s="290"/>
      <c r="C7" s="586">
        <f>+'Cuadro Mando Integral Detallado'!J178</f>
        <v>0.98157247603883246</v>
      </c>
      <c r="D7" s="799">
        <f>+C7</f>
        <v>0.98157247603883246</v>
      </c>
      <c r="E7" s="794">
        <f>+C7</f>
        <v>0.98157247603883246</v>
      </c>
      <c r="F7" s="794">
        <f>+C7</f>
        <v>0.98157247603883246</v>
      </c>
      <c r="G7" s="794">
        <f>+C7</f>
        <v>0.98157247603883246</v>
      </c>
      <c r="H7" s="581">
        <f>+C7</f>
        <v>0.98157247603883246</v>
      </c>
      <c r="I7" s="1399">
        <f>+'Cuadro Mando Integral Detallado'!L178</f>
        <v>0.20577199402933172</v>
      </c>
      <c r="J7" s="1399">
        <f>+'Cuadro Mando Integral Detallado'!M178</f>
        <v>0.22598240427612942</v>
      </c>
      <c r="K7" s="809">
        <f>+I7</f>
        <v>0.20577199402933172</v>
      </c>
      <c r="L7" s="806">
        <f>+I7</f>
        <v>0.20577199402933172</v>
      </c>
      <c r="M7" s="806">
        <f>+I7</f>
        <v>0.20577199402933172</v>
      </c>
      <c r="N7" s="806">
        <f>+I7</f>
        <v>0.20577199402933172</v>
      </c>
      <c r="O7" s="591">
        <f>+I7</f>
        <v>0.20577199402933172</v>
      </c>
      <c r="P7" s="909">
        <f>COUNT('Cuadro Mando Integral Detallado'!N108:N176)/COUNT('Cuadro Mando Integral Detallado'!I108:I117,'Cuadro Mando Integral Detallado'!I121,'Cuadro Mando Integral Detallado'!I124:I133,'Cuadro Mando Integral Detallado'!I135:I140,'Cuadro Mando Integral Detallado'!I142:I145,'Cuadro Mando Integral Detallado'!I147:I154,'Cuadro Mando Integral Detallado'!I156:I165,'Cuadro Mando Integral Detallado'!I168:I176)</f>
        <v>5.2631578947368418E-2</v>
      </c>
      <c r="Q7" s="175"/>
      <c r="R7" s="586">
        <f>+'Cuadro Mando Integral Detallado'!Q178</f>
        <v>0.96771734558783262</v>
      </c>
      <c r="S7" s="794">
        <f>+R7</f>
        <v>0.96771734558783262</v>
      </c>
      <c r="T7" s="794">
        <f>+R7</f>
        <v>0.96771734558783262</v>
      </c>
      <c r="U7" s="794">
        <f>+R7</f>
        <v>0.96771734558783262</v>
      </c>
      <c r="V7" s="794">
        <f>+R7</f>
        <v>0.96771734558783262</v>
      </c>
      <c r="W7" s="581">
        <f>+R7</f>
        <v>0.96771734558783262</v>
      </c>
      <c r="X7" s="816">
        <f>+'Cuadro Mando Integral Detallado'!S178</f>
        <v>0.42962615208594745</v>
      </c>
      <c r="Y7" s="816">
        <f>+'Cuadro Mando Integral Detallado'!T178</f>
        <v>0.47407023678449373</v>
      </c>
      <c r="Z7" s="809">
        <f>+X7</f>
        <v>0.42962615208594745</v>
      </c>
      <c r="AA7" s="806">
        <f>+X7</f>
        <v>0.42962615208594745</v>
      </c>
      <c r="AB7" s="806">
        <f>+X7</f>
        <v>0.42962615208594745</v>
      </c>
      <c r="AC7" s="806">
        <f>+X7</f>
        <v>0.42962615208594745</v>
      </c>
      <c r="AD7" s="906">
        <f>+X7</f>
        <v>0.42962615208594745</v>
      </c>
      <c r="AE7" s="909">
        <f>COUNT('Cuadro Mando Integral Detallado'!U108:U176)/COUNT('Cuadro Mando Integral Detallado'!P108:P117,'Cuadro Mando Integral Detallado'!P121,'Cuadro Mando Integral Detallado'!P124:P133,'Cuadro Mando Integral Detallado'!P135:P140,'Cuadro Mando Integral Detallado'!P142:P145,'Cuadro Mando Integral Detallado'!P147:P154,'Cuadro Mando Integral Detallado'!P156:P165,'Cuadro Mando Integral Detallado'!P168:P176)</f>
        <v>0.13793103448275862</v>
      </c>
      <c r="AF7" s="585"/>
      <c r="AG7" s="586">
        <f>+'Cuadro Mando Integral Detallado'!X178</f>
        <v>0</v>
      </c>
      <c r="AH7" s="799">
        <f>+AG7</f>
        <v>0</v>
      </c>
      <c r="AI7" s="794">
        <f>+AG7</f>
        <v>0</v>
      </c>
      <c r="AJ7" s="794">
        <f>+AG7</f>
        <v>0</v>
      </c>
      <c r="AK7" s="794">
        <f>+AG7</f>
        <v>0</v>
      </c>
      <c r="AL7" s="581">
        <f>+AG7</f>
        <v>0</v>
      </c>
      <c r="AM7" s="586">
        <f>+'Cuadro Mando Integral Detallado'!Z178</f>
        <v>0.44753975502712384</v>
      </c>
      <c r="AN7" s="816">
        <f>+'Cuadro Mando Integral Detallado'!AA178</f>
        <v>0.47737573869559874</v>
      </c>
      <c r="AO7" s="820">
        <f>+AM7</f>
        <v>0.44753975502712384</v>
      </c>
      <c r="AP7" s="806">
        <f>+AM7</f>
        <v>0.44753975502712384</v>
      </c>
      <c r="AQ7" s="806">
        <f>+AM7</f>
        <v>0.44753975502712384</v>
      </c>
      <c r="AR7" s="806">
        <f>+AM7</f>
        <v>0.44753975502712384</v>
      </c>
      <c r="AS7" s="591">
        <f>+AM7</f>
        <v>0.44753975502712384</v>
      </c>
      <c r="AT7" s="909">
        <f>COUNT('Cuadro Mando Integral Detallado'!AB108:AB176)/COUNT('Cuadro Mando Integral Detallado'!W108:AF117,'Cuadro Mando Integral Detallado'!W121,'Cuadro Mando Integral Detallado'!W124:W133,'Cuadro Mando Integral Detallado'!W135:W140,'Cuadro Mando Integral Detallado'!W142:W145,'Cuadro Mando Integral Detallado'!W147:W154,'Cuadro Mando Integral Detallado'!W156:W165,'Cuadro Mando Integral Detallado'!W168:W176)</f>
        <v>0</v>
      </c>
      <c r="AU7" s="585"/>
      <c r="AV7" s="586">
        <f>+'Cuadro Mando Integral Detallado'!AE178</f>
        <v>0</v>
      </c>
      <c r="AW7" s="799">
        <f>+AV7</f>
        <v>0</v>
      </c>
      <c r="AX7" s="794">
        <f>+AV7</f>
        <v>0</v>
      </c>
      <c r="AY7" s="794">
        <f>+AV7</f>
        <v>0</v>
      </c>
      <c r="AZ7" s="794">
        <f>+AV7</f>
        <v>0</v>
      </c>
      <c r="BA7" s="581">
        <f>+AV7</f>
        <v>0</v>
      </c>
      <c r="BB7" s="816">
        <f>+'Cuadro Mando Integral Detallado'!AG178</f>
        <v>0.45535225502712384</v>
      </c>
      <c r="BC7" s="820">
        <f>+BB7</f>
        <v>0.45535225502712384</v>
      </c>
      <c r="BD7" s="806">
        <f>+BB7</f>
        <v>0.45535225502712384</v>
      </c>
      <c r="BE7" s="806">
        <f>+BB7</f>
        <v>0.45535225502712384</v>
      </c>
      <c r="BF7" s="806">
        <f>+BB7</f>
        <v>0.45535225502712384</v>
      </c>
      <c r="BG7" s="591">
        <f>+BB7</f>
        <v>0.45535225502712384</v>
      </c>
      <c r="BH7" s="909">
        <f>COUNT('Cuadro Mando Integral Detallado'!AI108:AI176)/COUNT('Cuadro Mando Integral Detallado'!AD108:AD117,'Cuadro Mando Integral Detallado'!AD121,'Cuadro Mando Integral Detallado'!AD124:AD133,'Cuadro Mando Integral Detallado'!AD135:AD140,'Cuadro Mando Integral Detallado'!AD142:AD145,'Cuadro Mando Integral Detallado'!AD147:AD154,'Cuadro Mando Integral Detallado'!AD156:AD165,'Cuadro Mando Integral Detallado'!AD168:AD176)</f>
        <v>0</v>
      </c>
    </row>
    <row r="8" spans="1:63" ht="18" x14ac:dyDescent="0.25">
      <c r="A8" s="292" t="s">
        <v>827</v>
      </c>
      <c r="B8" s="290"/>
      <c r="C8" s="586">
        <f>+'Cuadro Mando Integral Detallado'!J219</f>
        <v>0.84195980135018067</v>
      </c>
      <c r="D8" s="799">
        <f>+C8</f>
        <v>0.84195980135018067</v>
      </c>
      <c r="E8" s="794">
        <f>+C8</f>
        <v>0.84195980135018067</v>
      </c>
      <c r="F8" s="794">
        <f>+C8</f>
        <v>0.84195980135018067</v>
      </c>
      <c r="G8" s="794">
        <f>+C8</f>
        <v>0.84195980135018067</v>
      </c>
      <c r="H8" s="581">
        <f>+C8</f>
        <v>0.84195980135018067</v>
      </c>
      <c r="I8" s="1399">
        <f>+'Cuadro Mando Integral Detallado'!L219</f>
        <v>0.14124760213568749</v>
      </c>
      <c r="J8" s="1399">
        <f>+'Cuadro Mando Integral Detallado'!M219</f>
        <v>0.16212189626819998</v>
      </c>
      <c r="K8" s="809">
        <f>+I8</f>
        <v>0.14124760213568749</v>
      </c>
      <c r="L8" s="806">
        <f>+I8</f>
        <v>0.14124760213568749</v>
      </c>
      <c r="M8" s="806">
        <f>+I8</f>
        <v>0.14124760213568749</v>
      </c>
      <c r="N8" s="806">
        <f>+I8</f>
        <v>0.14124760213568749</v>
      </c>
      <c r="O8" s="591">
        <f>+I8</f>
        <v>0.14124760213568749</v>
      </c>
      <c r="P8" s="909">
        <f>COUNT('Cuadro Mando Integral Detallado'!N179:N217)/COUNT('Cuadro Mando Integral Detallado'!I179,'Cuadro Mando Integral Detallado'!I181,'Cuadro Mando Integral Detallado'!I183,'Cuadro Mando Integral Detallado'!I185,'Cuadro Mando Integral Detallado'!I187,'Cuadro Mando Integral Detallado'!I189:I195,'Cuadro Mando Integral Detallado'!I199:I201,'Cumplimiento perspectivas Mejor'!I205,'Cuadro Mando Integral Detallado'!I208,'Cuadro Mando Integral Detallado'!I211:I217)</f>
        <v>0.17391304347826086</v>
      </c>
      <c r="Q8" s="175"/>
      <c r="R8" s="586">
        <f>+'Cuadro Mando Integral Detallado'!Q219</f>
        <v>0.70554897486308632</v>
      </c>
      <c r="S8" s="794">
        <f>+R8</f>
        <v>0.70554897486308632</v>
      </c>
      <c r="T8" s="794">
        <f>+R8</f>
        <v>0.70554897486308632</v>
      </c>
      <c r="U8" s="794">
        <f>+R8</f>
        <v>0.70554897486308632</v>
      </c>
      <c r="V8" s="794">
        <f>+R8</f>
        <v>0.70554897486308632</v>
      </c>
      <c r="W8" s="581">
        <f>+R8</f>
        <v>0.70554897486308632</v>
      </c>
      <c r="X8" s="816">
        <f>+'Cuadro Mando Integral Detallado'!S219</f>
        <v>0.36093619803692933</v>
      </c>
      <c r="Y8" s="816">
        <f>+'Cuadro Mando Integral Detallado'!T219</f>
        <v>0.44805872859756746</v>
      </c>
      <c r="Z8" s="809">
        <f>+X8</f>
        <v>0.36093619803692933</v>
      </c>
      <c r="AA8" s="806">
        <f>+X8</f>
        <v>0.36093619803692933</v>
      </c>
      <c r="AB8" s="806">
        <f>+X8</f>
        <v>0.36093619803692933</v>
      </c>
      <c r="AC8" s="806">
        <f>+X8</f>
        <v>0.36093619803692933</v>
      </c>
      <c r="AD8" s="906">
        <f>+X8</f>
        <v>0.36093619803692933</v>
      </c>
      <c r="AE8" s="909">
        <f>COUNT('Cuadro Mando Integral Detallado'!U179:U217)/COUNT('Cuadro Mando Integral Detallado'!P179,'Cuadro Mando Integral Detallado'!P181,'Cuadro Mando Integral Detallado'!P183,'Cuadro Mando Integral Detallado'!P185,'Cuadro Mando Integral Detallado'!P187,'Cuadro Mando Integral Detallado'!P189:P196,'Cuadro Mando Integral Detallado'!P198:P199,'Cuadro Mando Integral Detallado'!P201,'Cuadro Mando Integral Detallado'!P204:P205,'Cuadro Mando Integral Detallado'!P207:P209,'Cuadro Mando Integral Detallado'!P211:P215,'Cuadro Mando Integral Detallado'!P217)</f>
        <v>7.407407407407407E-2</v>
      </c>
      <c r="AF8" s="585"/>
      <c r="AG8" s="586">
        <f>+'Cuadro Mando Integral Detallado'!X219</f>
        <v>0</v>
      </c>
      <c r="AH8" s="799">
        <f>+AG8</f>
        <v>0</v>
      </c>
      <c r="AI8" s="794">
        <f>+AG8</f>
        <v>0</v>
      </c>
      <c r="AJ8" s="794">
        <f>+AG8</f>
        <v>0</v>
      </c>
      <c r="AK8" s="794">
        <f>+AG8</f>
        <v>0</v>
      </c>
      <c r="AL8" s="581">
        <f>+AG8</f>
        <v>0</v>
      </c>
      <c r="AM8" s="586">
        <f>+'Cuadro Mando Integral Detallado'!Z219</f>
        <v>0.37874484001223796</v>
      </c>
      <c r="AN8" s="816">
        <f>+'Cuadro Mando Integral Detallado'!AA219</f>
        <v>0.47016600829105398</v>
      </c>
      <c r="AO8" s="820">
        <f>+AM8</f>
        <v>0.37874484001223796</v>
      </c>
      <c r="AP8" s="806">
        <f>+AM8</f>
        <v>0.37874484001223796</v>
      </c>
      <c r="AQ8" s="806">
        <f>+AM8</f>
        <v>0.37874484001223796</v>
      </c>
      <c r="AR8" s="806">
        <f>+AM8</f>
        <v>0.37874484001223796</v>
      </c>
      <c r="AS8" s="591">
        <f>+AM8</f>
        <v>0.37874484001223796</v>
      </c>
      <c r="AT8" s="909">
        <f>COUNT('Cuadro Mando Integral Detallado'!AB179:AB217)/COUNT('Cuadro Mando Integral Detallado'!W179,'Cuadro Mando Integral Detallado'!W181,'Cuadro Mando Integral Detallado'!W183,'Cuadro Mando Integral Detallado'!W185,'Cuadro Mando Integral Detallado'!W187,'Cuadro Mando Integral Detallado'!W189:W196,'Cuadro Mando Integral Detallado'!W198:W199,'Cuadro Mando Integral Detallado'!W201,'Cuadro Mando Integral Detallado'!W204:W205,'Cuadro Mando Integral Detallado'!W207:W209,'Cuadro Mando Integral Detallado'!W211:W215,'Cuadro Mando Integral Detallado'!W217)</f>
        <v>0</v>
      </c>
      <c r="AU8" s="585"/>
      <c r="AV8" s="586">
        <f>+'Cuadro Mando Integral Detallado'!AE219</f>
        <v>0</v>
      </c>
      <c r="AW8" s="799">
        <f>+AV8</f>
        <v>0</v>
      </c>
      <c r="AX8" s="794">
        <f>+AV8</f>
        <v>0</v>
      </c>
      <c r="AY8" s="794">
        <f>+AV8</f>
        <v>0</v>
      </c>
      <c r="AZ8" s="794">
        <f>+AV8</f>
        <v>0</v>
      </c>
      <c r="BA8" s="581">
        <f>+AV8</f>
        <v>0</v>
      </c>
      <c r="BB8" s="816">
        <f>+'Cuadro Mando Integral Detallado'!AG219</f>
        <v>0.38856243301948612</v>
      </c>
      <c r="BC8" s="820">
        <f>+BB8</f>
        <v>0.38856243301948612</v>
      </c>
      <c r="BD8" s="806">
        <f>+BB8</f>
        <v>0.38856243301948612</v>
      </c>
      <c r="BE8" s="806">
        <f>+BB8</f>
        <v>0.38856243301948612</v>
      </c>
      <c r="BF8" s="806">
        <f>+BB8</f>
        <v>0.38856243301948612</v>
      </c>
      <c r="BG8" s="591">
        <f>+BB8</f>
        <v>0.38856243301948612</v>
      </c>
      <c r="BH8" s="909">
        <f>COUNT('Cuadro Mando Integral Detallado'!AI179:AI217)/COUNT('Cuadro Mando Integral Detallado'!AD179,'Cuadro Mando Integral Detallado'!AD181,'Cuadro Mando Integral Detallado'!AD183,'Cuadro Mando Integral Detallado'!AD185,'Cuadro Mando Integral Detallado'!AD187,'Cuadro Mando Integral Detallado'!AD189:AD196,'Cuadro Mando Integral Detallado'!AD198:AD199,'Cuadro Mando Integral Detallado'!AD201,'Cuadro Mando Integral Detallado'!AD204:AD205,'Cuadro Mando Integral Detallado'!AD207:AD209,'Cuadro Mando Integral Detallado'!AD211:AD215,'Cuadro Mando Integral Detallado'!AD217)</f>
        <v>0</v>
      </c>
    </row>
    <row r="9" spans="1:63" ht="18.75" thickBot="1" x14ac:dyDescent="0.3">
      <c r="A9" s="293" t="s">
        <v>828</v>
      </c>
      <c r="B9" s="290"/>
      <c r="C9" s="587">
        <f>+'Cuadro Mando Integral Detallado'!I224</f>
        <v>1.0977777777777777</v>
      </c>
      <c r="D9" s="800">
        <f>+C9</f>
        <v>1.0977777777777777</v>
      </c>
      <c r="E9" s="796">
        <f>+C9</f>
        <v>1.0977777777777777</v>
      </c>
      <c r="F9" s="796">
        <f>+C9</f>
        <v>1.0977777777777777</v>
      </c>
      <c r="G9" s="796">
        <f>+C9</f>
        <v>1.0977777777777777</v>
      </c>
      <c r="H9" s="582">
        <f>+C9</f>
        <v>1.0977777777777777</v>
      </c>
      <c r="I9" s="1400">
        <f>+'Cuadro Mando Integral Detallado'!L224</f>
        <v>0.24666666666666667</v>
      </c>
      <c r="J9" s="1400">
        <f>+'Cuadro Mando Integral Detallado'!M224</f>
        <v>0.24666666666666667</v>
      </c>
      <c r="K9" s="810">
        <f>+I9</f>
        <v>0.24666666666666667</v>
      </c>
      <c r="L9" s="811">
        <f>+I9</f>
        <v>0.24666666666666667</v>
      </c>
      <c r="M9" s="811">
        <f>+I9</f>
        <v>0.24666666666666667</v>
      </c>
      <c r="N9" s="811">
        <f>+I9</f>
        <v>0.24666666666666667</v>
      </c>
      <c r="O9" s="592">
        <f>+I9</f>
        <v>0.24666666666666667</v>
      </c>
      <c r="P9" s="910">
        <f>COUNT('Cuadro Mando Integral Detallado'!N220:N222)/COUNT('Cuadro Mando Integral Detallado'!I220:I222)</f>
        <v>0.33333333333333331</v>
      </c>
      <c r="Q9" s="175"/>
      <c r="R9" s="587">
        <f>+'Cuadro Mando Integral Detallado'!Q224</f>
        <v>0.90277777777777779</v>
      </c>
      <c r="S9" s="796">
        <f>+R9</f>
        <v>0.90277777777777779</v>
      </c>
      <c r="T9" s="796">
        <f>+R9</f>
        <v>0.90277777777777779</v>
      </c>
      <c r="U9" s="796">
        <f>+R9</f>
        <v>0.90277777777777779</v>
      </c>
      <c r="V9" s="796">
        <f>+R9</f>
        <v>0.90277777777777779</v>
      </c>
      <c r="W9" s="582">
        <f>+R9</f>
        <v>0.90277777777777779</v>
      </c>
      <c r="X9" s="817">
        <f>+'Cuadro Mando Integral Detallado'!S224</f>
        <v>0.47236111111111106</v>
      </c>
      <c r="Y9" s="817">
        <f>+'Cuadro Mando Integral Detallado'!T224</f>
        <v>0.47236111111111106</v>
      </c>
      <c r="Z9" s="810">
        <f>+X9</f>
        <v>0.47236111111111106</v>
      </c>
      <c r="AA9" s="811">
        <f>+X9</f>
        <v>0.47236111111111106</v>
      </c>
      <c r="AB9" s="811">
        <f>+X9</f>
        <v>0.47236111111111106</v>
      </c>
      <c r="AC9" s="811">
        <f>+X9</f>
        <v>0.47236111111111106</v>
      </c>
      <c r="AD9" s="907">
        <f>+X9</f>
        <v>0.47236111111111106</v>
      </c>
      <c r="AE9" s="910">
        <f>COUNT('Cuadro Mando Integral Detallado'!U220:U222)/COUNT('Cuadro Mando Integral Detallado'!P220:P222)</f>
        <v>0.33333333333333331</v>
      </c>
      <c r="AF9" s="585"/>
      <c r="AG9" s="587">
        <f>+'Cuadro Mando Integral Detallado'!X224</f>
        <v>0</v>
      </c>
      <c r="AH9" s="800">
        <f>+AG9</f>
        <v>0</v>
      </c>
      <c r="AI9" s="796">
        <f>+AG9</f>
        <v>0</v>
      </c>
      <c r="AJ9" s="796">
        <f>+AG9</f>
        <v>0</v>
      </c>
      <c r="AK9" s="796">
        <f>+AG9</f>
        <v>0</v>
      </c>
      <c r="AL9" s="582">
        <f>+AG9</f>
        <v>0</v>
      </c>
      <c r="AM9" s="587">
        <f>+'Cuadro Mando Integral Detallado'!Z224</f>
        <v>0.55569444444444438</v>
      </c>
      <c r="AN9" s="817">
        <f>+'Cuadro Mando Integral Detallado'!AA224</f>
        <v>0.55569444444444438</v>
      </c>
      <c r="AO9" s="821">
        <f>+AM9</f>
        <v>0.55569444444444438</v>
      </c>
      <c r="AP9" s="811">
        <f>+AM9</f>
        <v>0.55569444444444438</v>
      </c>
      <c r="AQ9" s="811">
        <f>+AM9</f>
        <v>0.55569444444444438</v>
      </c>
      <c r="AR9" s="811">
        <f>+AM9</f>
        <v>0.55569444444444438</v>
      </c>
      <c r="AS9" s="592">
        <f>+AM9</f>
        <v>0.55569444444444438</v>
      </c>
      <c r="AT9" s="910">
        <f>COUNT('Cuadro Mando Integral Detallado'!AB220:AB222)/COUNT('Cuadro Mando Integral Detallado'!W220:W222)</f>
        <v>0</v>
      </c>
      <c r="AU9" s="585"/>
      <c r="AV9" s="587">
        <f>+'Cuadro Mando Integral Detallado'!AE224</f>
        <v>0</v>
      </c>
      <c r="AW9" s="800">
        <f>+AV9</f>
        <v>0</v>
      </c>
      <c r="AX9" s="796">
        <f>+AV9</f>
        <v>0</v>
      </c>
      <c r="AY9" s="796">
        <f>+AV9</f>
        <v>0</v>
      </c>
      <c r="AZ9" s="796">
        <f>+AV9</f>
        <v>0</v>
      </c>
      <c r="BA9" s="582">
        <f>+AV9</f>
        <v>0</v>
      </c>
      <c r="BB9" s="817">
        <f>+'Cuadro Mando Integral Detallado'!AG224</f>
        <v>0.63902777777777775</v>
      </c>
      <c r="BC9" s="821">
        <f>+BB9</f>
        <v>0.63902777777777775</v>
      </c>
      <c r="BD9" s="811">
        <f>+BB9</f>
        <v>0.63902777777777775</v>
      </c>
      <c r="BE9" s="811">
        <f>+BB9</f>
        <v>0.63902777777777775</v>
      </c>
      <c r="BF9" s="811">
        <f>+BB9</f>
        <v>0.63902777777777775</v>
      </c>
      <c r="BG9" s="592">
        <f>+BB9</f>
        <v>0.63902777777777775</v>
      </c>
      <c r="BH9" s="910">
        <f>COUNT('Cuadro Mando Integral Detallado'!AI220:AI222)/COUNT('Cuadro Mando Integral Detallado'!AD220:AD222)</f>
        <v>0</v>
      </c>
    </row>
    <row r="10" spans="1:63" ht="11.25" customHeight="1" thickBot="1" x14ac:dyDescent="0.3">
      <c r="A10" s="420"/>
      <c r="B10" s="290"/>
      <c r="P10" s="904"/>
      <c r="R10" s="868"/>
      <c r="S10" s="868"/>
      <c r="T10" s="868"/>
      <c r="U10" s="868"/>
      <c r="V10" s="868"/>
      <c r="W10" s="868"/>
      <c r="X10" s="868"/>
      <c r="Y10" s="893"/>
      <c r="AE10" s="904"/>
      <c r="AF10" s="868"/>
      <c r="AG10" s="866"/>
      <c r="AH10" s="23"/>
      <c r="AI10" s="23"/>
      <c r="AJ10" s="23"/>
      <c r="AK10" s="23"/>
      <c r="AL10" s="23"/>
      <c r="AM10" s="866"/>
      <c r="AN10" s="889"/>
      <c r="AO10" s="594"/>
      <c r="AP10" s="594"/>
      <c r="AQ10" s="594"/>
      <c r="AR10" s="594"/>
      <c r="AS10" s="594"/>
      <c r="AT10" s="594"/>
      <c r="AU10" s="868"/>
      <c r="AV10" s="868"/>
      <c r="BB10" s="868"/>
      <c r="BC10" s="161"/>
      <c r="BH10" s="594"/>
    </row>
    <row r="11" spans="1:63" ht="18.75" thickBot="1" x14ac:dyDescent="0.3">
      <c r="A11" s="862" t="s">
        <v>1199</v>
      </c>
      <c r="B11" s="294"/>
      <c r="C11" s="802">
        <f>+'Cuadro Mando Integral Detallado'!J225</f>
        <v>0.89093037083182813</v>
      </c>
      <c r="D11" s="801">
        <f>+C11</f>
        <v>0.89093037083182813</v>
      </c>
      <c r="E11" s="797">
        <f>+C11</f>
        <v>0.89093037083182813</v>
      </c>
      <c r="F11" s="797">
        <f>+C11</f>
        <v>0.89093037083182813</v>
      </c>
      <c r="G11" s="797">
        <f>+C11</f>
        <v>0.89093037083182813</v>
      </c>
      <c r="H11" s="583">
        <f>+C11</f>
        <v>0.89093037083182813</v>
      </c>
      <c r="I11" s="911">
        <f>+'Cuadro Mando Integral Detallado'!L225</f>
        <v>0.17830705749569473</v>
      </c>
      <c r="J11" s="812">
        <f>+'Cuadro Mando Integral Detallado'!M225</f>
        <v>0.18857823359052228</v>
      </c>
      <c r="K11" s="813">
        <f>+I11</f>
        <v>0.17830705749569473</v>
      </c>
      <c r="L11" s="814">
        <f>+I11</f>
        <v>0.17830705749569473</v>
      </c>
      <c r="M11" s="814">
        <f>+I11</f>
        <v>0.17830705749569473</v>
      </c>
      <c r="N11" s="814">
        <f>+I11</f>
        <v>0.17830705749569473</v>
      </c>
      <c r="O11" s="593">
        <f>+I11</f>
        <v>0.17830705749569473</v>
      </c>
      <c r="P11" s="911">
        <f>COUNT('Cuadro Mando Integral Detallado'!N15:N222)/COUNT('Cuadro Mando Integral Detallado'!I15:I31,'Cuadro Mando Integral Detallado'!I35:I36,'Cuadro Mando Integral Detallado'!I38:I64,'Cuadro Mando Integral Detallado'!I66,'Cuadro Mando Integral Detallado'!I69:I72,'Cuadro Mando Integral Detallado'!I75,'Cuadro Mando Integral Detallado'!I78:I82,'Cuadro Mando Integral Detallado'!I85:I97,'Cuadro Mando Integral Detallado'!I99:I104,'Cuadro Mando Integral Detallado'!I108:I117,'Cuadro Mando Integral Detallado'!I121,'Cuadro Mando Integral Detallado'!I124:I133,'Cuadro Mando Integral Detallado'!I135:I140,'Cuadro Mando Integral Detallado'!I142:I145,'Cuadro Mando Integral Detallado'!I147:I154,'Cuadro Mando Integral Detallado'!I156:I165,'Cuadro Mando Integral Detallado'!I168:I176,'Cuadro Mando Integral Detallado'!I179,'Cuadro Mando Integral Detallado'!I181,'Cuadro Mando Integral Detallado'!I183,'Cuadro Mando Integral Detallado'!I185,'Cuadro Mando Integral Detallado'!I187,'Cuadro Mando Integral Detallado'!I189:I195,'Cuadro Mando Integral Detallado'!I199:I201,'Cumplimiento perspectivas Mejor'!I205,'Cuadro Mando Integral Detallado'!I208,'Cuadro Mando Integral Detallado'!I211:I217,'Cuadro Mando Integral Detallado'!I220:I222)</f>
        <v>0.11764705882352941</v>
      </c>
      <c r="Q11" s="176"/>
      <c r="R11" s="802">
        <f>+'Cuadro Mando Integral Detallado'!Q225</f>
        <v>0.79203284065219015</v>
      </c>
      <c r="S11" s="801">
        <f>+R11</f>
        <v>0.79203284065219015</v>
      </c>
      <c r="T11" s="797">
        <f>+R11</f>
        <v>0.79203284065219015</v>
      </c>
      <c r="U11" s="797">
        <f>+R11</f>
        <v>0.79203284065219015</v>
      </c>
      <c r="V11" s="797">
        <f>+R11</f>
        <v>0.79203284065219015</v>
      </c>
      <c r="W11" s="583">
        <f>+R11</f>
        <v>0.79203284065219015</v>
      </c>
      <c r="X11" s="818">
        <f>+'Cuadro Mando Integral Detallado'!S225</f>
        <v>0.38029043226745324</v>
      </c>
      <c r="Y11" s="818">
        <f>+'Cuadro Mando Integral Detallado'!T225</f>
        <v>0.42016149872646086</v>
      </c>
      <c r="Z11" s="813">
        <f>+X11</f>
        <v>0.38029043226745324</v>
      </c>
      <c r="AA11" s="814">
        <f>+X11</f>
        <v>0.38029043226745324</v>
      </c>
      <c r="AB11" s="814">
        <f>+X11</f>
        <v>0.38029043226745324</v>
      </c>
      <c r="AC11" s="814">
        <f>+X11</f>
        <v>0.38029043226745324</v>
      </c>
      <c r="AD11" s="593">
        <f>+X11</f>
        <v>0.38029043226745324</v>
      </c>
      <c r="AE11" s="911">
        <f>COUNT('Cuadro Mando Integral Detallado'!U15:U222)/COUNT('Cuadro Mando Integral Detallado'!P15:P17,'Cuadro Mando Integral Detallado'!P18:P31,'Cuadro Mando Integral Detallado'!P35:P36,'Cuadro Mando Integral Detallado'!P38:P64,'Cuadro Mando Integral Detallado'!P66:P67,'Cuadro Mando Integral Detallado'!P69:P72,'Cuadro Mando Integral Detallado'!P74:P76,'Cuadro Mando Integral Detallado'!P78:P79,'Cuadro Mando Integral Detallado'!P81:P82,'Cuadro Mando Integral Detallado'!P85:P97,'Cuadro Mando Integral Detallado'!P99:P101,'Cuadro Mando Integral Detallado'!P103:P104,'Cuadro Mando Integral Detallado'!P108:P117,'Cuadro Mando Integral Detallado'!P121,'Cuadro Mando Integral Detallado'!P124:P133,'Cuadro Mando Integral Detallado'!P135:P140,'Cuadro Mando Integral Detallado'!P142:P145,'Cuadro Mando Integral Detallado'!P147:P154,'Cuadro Mando Integral Detallado'!P156:P165,'Cuadro Mando Integral Detallado'!P168:P176,'Cuadro Mando Integral Detallado'!P179,'Cuadro Mando Integral Detallado'!P181,'Cuadro Mando Integral Detallado'!P183,'Cuadro Mando Integral Detallado'!P185,'Cuadro Mando Integral Detallado'!P187,'Cuadro Mando Integral Detallado'!P189:P196,'Cuadro Mando Integral Detallado'!P198:P199,'Cuadro Mando Integral Detallado'!P201,'Cuadro Mando Integral Detallado'!P204:P205,'Cuadro Mando Integral Detallado'!P207:P209,'Cuadro Mando Integral Detallado'!P211:P215,'Cuadro Mando Integral Detallado'!P217,'Cuadro Mando Integral Detallado'!P220:P222)</f>
        <v>0.14374999999999999</v>
      </c>
      <c r="AF11" s="588"/>
      <c r="AG11" s="802">
        <f>+'Cuadro Mando Integral Detallado'!X225</f>
        <v>0</v>
      </c>
      <c r="AH11" s="801">
        <f>+AG11</f>
        <v>0</v>
      </c>
      <c r="AI11" s="797">
        <f>+AG11</f>
        <v>0</v>
      </c>
      <c r="AJ11" s="797">
        <f>+AG11</f>
        <v>0</v>
      </c>
      <c r="AK11" s="797">
        <f>+AG11</f>
        <v>0</v>
      </c>
      <c r="AL11" s="583">
        <f>+AG11</f>
        <v>0</v>
      </c>
      <c r="AM11" s="818">
        <f>+'Cuadro Mando Integral Detallado'!Z225</f>
        <v>0.41306177748847384</v>
      </c>
      <c r="AN11" s="818">
        <f>+'Cuadro Mando Integral Detallado'!AA225</f>
        <v>0.44506524091573463</v>
      </c>
      <c r="AO11" s="822">
        <f>+AM11</f>
        <v>0.41306177748847384</v>
      </c>
      <c r="AP11" s="814">
        <f>+AM11</f>
        <v>0.41306177748847384</v>
      </c>
      <c r="AQ11" s="814">
        <f>+AM11</f>
        <v>0.41306177748847384</v>
      </c>
      <c r="AR11" s="814">
        <f>+AM11</f>
        <v>0.41306177748847384</v>
      </c>
      <c r="AS11" s="593">
        <f>+AM11</f>
        <v>0.41306177748847384</v>
      </c>
      <c r="AT11" s="911">
        <f>COUNT('Cuadro Mando Integral Detallado'!AB15:AB222)/COUNT('Cuadro Mando Integral Detallado'!W15:W17,'Cuadro Mando Integral Detallado'!W18:W31,'Cuadro Mando Integral Detallado'!W35:W36,'Cuadro Mando Integral Detallado'!W38:W64,'Cuadro Mando Integral Detallado'!W66:W67,'Cuadro Mando Integral Detallado'!W69:W72,'Cuadro Mando Integral Detallado'!W74:W76,'Cuadro Mando Integral Detallado'!W78:W79,'Cuadro Mando Integral Detallado'!W81:W82,'Cuadro Mando Integral Detallado'!W85:W97,'Cuadro Mando Integral Detallado'!W99:W101,'Cuadro Mando Integral Detallado'!W103:W104,'Cuadro Mando Integral Detallado'!W108:W117,'Cuadro Mando Integral Detallado'!W121,'Cuadro Mando Integral Detallado'!W124:W133,'Cuadro Mando Integral Detallado'!W135:W140,'Cuadro Mando Integral Detallado'!W142:W145,'Cuadro Mando Integral Detallado'!W147:W154,'Cuadro Mando Integral Detallado'!W156:W165,'Cuadro Mando Integral Detallado'!W168:W176,'Cuadro Mando Integral Detallado'!W179,'Cuadro Mando Integral Detallado'!W181,'Cuadro Mando Integral Detallado'!W183,'Cuadro Mando Integral Detallado'!W185,'Cuadro Mando Integral Detallado'!W187,'Cuadro Mando Integral Detallado'!W189:W196,'Cuadro Mando Integral Detallado'!W198:W199,'Cuadro Mando Integral Detallado'!W201,'Cuadro Mando Integral Detallado'!W204:W205,'Cuadro Mando Integral Detallado'!W207:W209,'Cuadro Mando Integral Detallado'!W211:W215,'Cuadro Mando Integral Detallado'!W217,'Cuadro Mando Integral Detallado'!W220:W222)</f>
        <v>0</v>
      </c>
      <c r="AU11" s="588"/>
      <c r="AV11" s="802">
        <f>+'Cuadro Mando Integral Detallado'!AE225</f>
        <v>0</v>
      </c>
      <c r="AW11" s="801">
        <f>+AV11</f>
        <v>0</v>
      </c>
      <c r="AX11" s="797">
        <f>+AV11</f>
        <v>0</v>
      </c>
      <c r="AY11" s="797">
        <f>+AV11</f>
        <v>0</v>
      </c>
      <c r="AZ11" s="797">
        <f>+AV11</f>
        <v>0</v>
      </c>
      <c r="BA11" s="583">
        <f>+AV11</f>
        <v>0</v>
      </c>
      <c r="BB11" s="818">
        <f>+'Cuadro Mando Integral Detallado'!AG225</f>
        <v>0.43801517837676807</v>
      </c>
      <c r="BC11" s="822">
        <f>+BB11</f>
        <v>0.43801517837676807</v>
      </c>
      <c r="BD11" s="814">
        <f>+BB11</f>
        <v>0.43801517837676807</v>
      </c>
      <c r="BE11" s="814">
        <f>+BB11</f>
        <v>0.43801517837676807</v>
      </c>
      <c r="BF11" s="814">
        <f>+BB11</f>
        <v>0.43801517837676807</v>
      </c>
      <c r="BG11" s="593">
        <f>+BB11</f>
        <v>0.43801517837676807</v>
      </c>
      <c r="BH11" s="911">
        <f>COUNT('Cuadro Mando Integral Detallado'!AI15:AI222)/COUNT('Cuadro Mando Integral Detallado'!AD15:AD17,'Cuadro Mando Integral Detallado'!AD18:AD31,'Cuadro Mando Integral Detallado'!AD35:AD36,'Cuadro Mando Integral Detallado'!AD38:AD64,'Cuadro Mando Integral Detallado'!AD66:AD67,'Cuadro Mando Integral Detallado'!AD69:AD72,'Cuadro Mando Integral Detallado'!AD74:AD76,'Cuadro Mando Integral Detallado'!AD78:AD79,'Cuadro Mando Integral Detallado'!AD81:AD82,'Cuadro Mando Integral Detallado'!AD85:AD97,'Cuadro Mando Integral Detallado'!AD99:AD101,'Cuadro Mando Integral Detallado'!AD103:AD104,'Cuadro Mando Integral Detallado'!AD108:AD117,'Cuadro Mando Integral Detallado'!AD121,'Cuadro Mando Integral Detallado'!AD124:AD133,'Cuadro Mando Integral Detallado'!AD135:AD140,'Cuadro Mando Integral Detallado'!AD142:AD145,'Cuadro Mando Integral Detallado'!AD147:AD154,'Cuadro Mando Integral Detallado'!AD156:AD165,'Cuadro Mando Integral Detallado'!AD168:AD176,'Cuadro Mando Integral Detallado'!AD179,'Cuadro Mando Integral Detallado'!AD181,'Cuadro Mando Integral Detallado'!AD183,'Cuadro Mando Integral Detallado'!AD185,'Cuadro Mando Integral Detallado'!AD187,'Cuadro Mando Integral Detallado'!AD189:AD196,'Cuadro Mando Integral Detallado'!AD198:AD199,'Cuadro Mando Integral Detallado'!AD201,'Cuadro Mando Integral Detallado'!AD204:AD205,'Cuadro Mando Integral Detallado'!AD207:AD209,'Cuadro Mando Integral Detallado'!AD211:AD215,'Cuadro Mando Integral Detallado'!AD217,'Cuadro Mando Integral Detallado'!AD220:AD222)</f>
        <v>0</v>
      </c>
    </row>
    <row r="12" spans="1:63" ht="8.25" customHeight="1" thickBot="1" x14ac:dyDescent="0.3">
      <c r="AE12" s="904"/>
    </row>
    <row r="13" spans="1:63" ht="18.75" thickBot="1" x14ac:dyDescent="0.3">
      <c r="A13" s="862" t="s">
        <v>1198</v>
      </c>
      <c r="C13" s="802">
        <f>+'Cuadro Mando Integral Detallado'!J226</f>
        <v>0.87179195721597191</v>
      </c>
      <c r="D13" s="801">
        <f>+C13</f>
        <v>0.87179195721597191</v>
      </c>
      <c r="E13" s="797">
        <f>+C13</f>
        <v>0.87179195721597191</v>
      </c>
      <c r="F13" s="797">
        <f>+C13</f>
        <v>0.87179195721597191</v>
      </c>
      <c r="G13" s="797">
        <f>+C13</f>
        <v>0.87179195721597191</v>
      </c>
      <c r="H13" s="583">
        <f>+C13</f>
        <v>0.87179195721597191</v>
      </c>
      <c r="I13" s="911">
        <f>+'Cuadro Mando Integral Detallado'!L226</f>
        <v>0.14638695878727698</v>
      </c>
      <c r="J13" s="812">
        <f>+'Cuadro Mando Integral Detallado'!M226</f>
        <v>0.17048725078274332</v>
      </c>
      <c r="K13" s="813">
        <f>+I13</f>
        <v>0.14638695878727698</v>
      </c>
      <c r="L13" s="814">
        <f>+I13</f>
        <v>0.14638695878727698</v>
      </c>
      <c r="M13" s="814">
        <f>+I13</f>
        <v>0.14638695878727698</v>
      </c>
      <c r="N13" s="814">
        <f>+I13</f>
        <v>0.14638695878727698</v>
      </c>
      <c r="O13" s="593">
        <f>+I13</f>
        <v>0.14638695878727698</v>
      </c>
      <c r="P13" s="902"/>
      <c r="Q13" s="176"/>
      <c r="R13" s="802">
        <f>+'Cuadro Mando Integral Detallado'!Q226</f>
        <v>0.75322527958809726</v>
      </c>
      <c r="S13" s="801">
        <f>+R13</f>
        <v>0.75322527958809726</v>
      </c>
      <c r="T13" s="797">
        <f>+R13</f>
        <v>0.75322527958809726</v>
      </c>
      <c r="U13" s="797">
        <f>+R13</f>
        <v>0.75322527958809726</v>
      </c>
      <c r="V13" s="797">
        <f>+R13</f>
        <v>0.75322527958809726</v>
      </c>
      <c r="W13" s="583">
        <f>+R13</f>
        <v>0.75322527958809726</v>
      </c>
      <c r="X13" s="865">
        <f>+'Cuadro Mando Integral Detallado'!S226</f>
        <v>0.34098593599297888</v>
      </c>
      <c r="Y13" s="865">
        <f>+'Cuadro Mando Integral Detallado'!T226</f>
        <v>0.3846487692603725</v>
      </c>
      <c r="Z13" s="813">
        <f>+X13</f>
        <v>0.34098593599297888</v>
      </c>
      <c r="AA13" s="814">
        <f>+X13</f>
        <v>0.34098593599297888</v>
      </c>
      <c r="AB13" s="814">
        <f>+X13</f>
        <v>0.34098593599297888</v>
      </c>
      <c r="AC13" s="814">
        <f>+X13</f>
        <v>0.34098593599297888</v>
      </c>
      <c r="AD13" s="593">
        <f>+X13</f>
        <v>0.34098593599297888</v>
      </c>
      <c r="AE13" s="903"/>
      <c r="AF13" s="588"/>
      <c r="AG13" s="802">
        <f>+'Cuadro Mando Integral Detallado'!X226</f>
        <v>0</v>
      </c>
      <c r="AH13" s="801">
        <f>+AG13</f>
        <v>0</v>
      </c>
      <c r="AI13" s="797">
        <f>+AG13</f>
        <v>0</v>
      </c>
      <c r="AJ13" s="797">
        <f>+AG13</f>
        <v>0</v>
      </c>
      <c r="AK13" s="797">
        <f>+AG13</f>
        <v>0</v>
      </c>
      <c r="AL13" s="583">
        <f>+AG13</f>
        <v>0</v>
      </c>
      <c r="AM13" s="818">
        <f>+'Cuadro Mando Integral Detallado'!Z226</f>
        <v>0.35733201985976826</v>
      </c>
      <c r="AN13" s="818">
        <f>+'Cuadro Mando Integral Detallado'!AA226</f>
        <v>0.38433967252358792</v>
      </c>
      <c r="AO13" s="822">
        <f>+AM13</f>
        <v>0.35733201985976826</v>
      </c>
      <c r="AP13" s="814">
        <f>+AM13</f>
        <v>0.35733201985976826</v>
      </c>
      <c r="AQ13" s="814">
        <f>+AM13</f>
        <v>0.35733201985976826</v>
      </c>
      <c r="AR13" s="814">
        <f>+AM13</f>
        <v>0.35733201985976826</v>
      </c>
      <c r="AS13" s="593">
        <f>+AM13</f>
        <v>0.35733201985976826</v>
      </c>
      <c r="AT13" s="902"/>
      <c r="AU13" s="588"/>
      <c r="AV13" s="802">
        <f>+'Cuadro Mando Integral Detallado'!AE226</f>
        <v>0</v>
      </c>
      <c r="AW13" s="801">
        <f>+AV13</f>
        <v>0</v>
      </c>
      <c r="AX13" s="797">
        <f>+AV13</f>
        <v>0</v>
      </c>
      <c r="AY13" s="797">
        <f>+AV13</f>
        <v>0</v>
      </c>
      <c r="AZ13" s="797">
        <f>+AV13</f>
        <v>0</v>
      </c>
      <c r="BA13" s="583">
        <f>+AV13</f>
        <v>0</v>
      </c>
      <c r="BB13" s="818">
        <f>+'Cuadro Mando Integral Detallado'!AG226</f>
        <v>0.36278687326351838</v>
      </c>
      <c r="BC13" s="822">
        <f>+BB13</f>
        <v>0.36278687326351838</v>
      </c>
      <c r="BD13" s="814">
        <f>+BB13</f>
        <v>0.36278687326351838</v>
      </c>
      <c r="BE13" s="814">
        <f>+BB13</f>
        <v>0.36278687326351838</v>
      </c>
      <c r="BF13" s="814">
        <f>+BB13</f>
        <v>0.36278687326351838</v>
      </c>
      <c r="BG13" s="593">
        <f>+BB13</f>
        <v>0.36278687326351838</v>
      </c>
    </row>
    <row r="14" spans="1:63" s="146" customFormat="1" x14ac:dyDescent="0.25">
      <c r="A14" s="316"/>
    </row>
    <row r="15" spans="1:63" s="146" customFormat="1" x14ac:dyDescent="0.25">
      <c r="A15" s="316"/>
    </row>
    <row r="16" spans="1:63" x14ac:dyDescent="0.25">
      <c r="X16" s="589"/>
      <c r="Y16" s="589"/>
      <c r="AM16" s="589"/>
      <c r="AN16" s="589"/>
      <c r="AO16" s="589"/>
      <c r="AP16" s="589"/>
      <c r="AQ16" s="589"/>
      <c r="AR16" s="589"/>
      <c r="AS16" s="589"/>
      <c r="AT16" s="589"/>
      <c r="BB16" s="589"/>
    </row>
    <row r="17" spans="24:54" x14ac:dyDescent="0.25">
      <c r="X17" s="589"/>
      <c r="Y17" s="589"/>
      <c r="AM17" s="589"/>
      <c r="AN17" s="589"/>
      <c r="AO17" s="589"/>
      <c r="AP17" s="589"/>
      <c r="AQ17" s="589"/>
      <c r="AR17" s="589"/>
      <c r="AS17" s="589"/>
      <c r="AT17" s="589"/>
      <c r="BB17" s="589"/>
    </row>
    <row r="18" spans="24:54" x14ac:dyDescent="0.25">
      <c r="X18" s="589"/>
      <c r="Y18" s="589"/>
      <c r="AM18" s="589"/>
      <c r="AN18" s="589"/>
      <c r="AO18" s="589"/>
      <c r="AP18" s="589"/>
      <c r="AQ18" s="589"/>
      <c r="AR18" s="589"/>
      <c r="AS18" s="589"/>
      <c r="AT18" s="589"/>
      <c r="BB18" s="589"/>
    </row>
    <row r="19" spans="24:54" x14ac:dyDescent="0.25">
      <c r="X19" s="589"/>
      <c r="Y19" s="589"/>
      <c r="AM19" s="589"/>
      <c r="AN19" s="589"/>
      <c r="AO19" s="589"/>
      <c r="AP19" s="589"/>
      <c r="AQ19" s="589"/>
      <c r="AR19" s="589"/>
      <c r="AS19" s="589"/>
      <c r="AT19" s="589"/>
      <c r="BB19" s="589"/>
    </row>
    <row r="20" spans="24:54" x14ac:dyDescent="0.25">
      <c r="X20" s="589"/>
      <c r="Y20" s="589"/>
    </row>
  </sheetData>
  <mergeCells count="18">
    <mergeCell ref="AV5:BA5"/>
    <mergeCell ref="BB5:BG5"/>
    <mergeCell ref="C5:H5"/>
    <mergeCell ref="I5:O5"/>
    <mergeCell ref="R5:W5"/>
    <mergeCell ref="X5:AD5"/>
    <mergeCell ref="AG5:AL5"/>
    <mergeCell ref="AM5:AS5"/>
    <mergeCell ref="A1:A3"/>
    <mergeCell ref="B1:H1"/>
    <mergeCell ref="I1:AU1"/>
    <mergeCell ref="AV1:BG3"/>
    <mergeCell ref="B2:H2"/>
    <mergeCell ref="I2:AU2"/>
    <mergeCell ref="B3:H3"/>
    <mergeCell ref="I3:O3"/>
    <mergeCell ref="Q3:AL3"/>
    <mergeCell ref="AO3:AU3"/>
  </mergeCells>
  <conditionalFormatting sqref="D6">
    <cfRule type="cellIs" dxfId="1462" priority="255" stopIfTrue="1" operator="between">
      <formula>0</formula>
      <formula>0.5</formula>
    </cfRule>
  </conditionalFormatting>
  <conditionalFormatting sqref="AO6">
    <cfRule type="cellIs" dxfId="1461" priority="254" stopIfTrue="1" operator="between">
      <formula>0</formula>
      <formula>0.375</formula>
    </cfRule>
  </conditionalFormatting>
  <conditionalFormatting sqref="K6">
    <cfRule type="cellIs" dxfId="1460" priority="253" stopIfTrue="1" operator="between">
      <formula>0</formula>
      <formula>0.125</formula>
    </cfRule>
  </conditionalFormatting>
  <conditionalFormatting sqref="Z6">
    <cfRule type="cellIs" dxfId="1459" priority="252" stopIfTrue="1" operator="between">
      <formula>0</formula>
      <formula>0.255</formula>
    </cfRule>
  </conditionalFormatting>
  <conditionalFormatting sqref="BC6">
    <cfRule type="cellIs" dxfId="1458" priority="251" stopIfTrue="1" operator="between">
      <formula>0</formula>
      <formula>0.5</formula>
    </cfRule>
  </conditionalFormatting>
  <conditionalFormatting sqref="E6">
    <cfRule type="cellIs" dxfId="1457" priority="250" operator="between">
      <formula>0.51</formula>
      <formula>0.75</formula>
    </cfRule>
  </conditionalFormatting>
  <conditionalFormatting sqref="F6">
    <cfRule type="cellIs" dxfId="1456" priority="249" operator="between">
      <formula>0.76</formula>
      <formula>0.95</formula>
    </cfRule>
  </conditionalFormatting>
  <conditionalFormatting sqref="G6">
    <cfRule type="cellIs" dxfId="1455" priority="248" operator="between">
      <formula>0.95</formula>
      <formula>1</formula>
    </cfRule>
  </conditionalFormatting>
  <conditionalFormatting sqref="H6">
    <cfRule type="cellIs" dxfId="1454" priority="247" operator="greaterThan">
      <formula>1</formula>
    </cfRule>
  </conditionalFormatting>
  <conditionalFormatting sqref="D7">
    <cfRule type="cellIs" dxfId="1453" priority="246" stopIfTrue="1" operator="between">
      <formula>0</formula>
      <formula>0.5</formula>
    </cfRule>
  </conditionalFormatting>
  <conditionalFormatting sqref="E7">
    <cfRule type="cellIs" dxfId="1452" priority="245" operator="between">
      <formula>0.51</formula>
      <formula>0.75</formula>
    </cfRule>
  </conditionalFormatting>
  <conditionalFormatting sqref="F7">
    <cfRule type="cellIs" dxfId="1451" priority="244" operator="between">
      <formula>0.76</formula>
      <formula>0.95</formula>
    </cfRule>
  </conditionalFormatting>
  <conditionalFormatting sqref="G7">
    <cfRule type="cellIs" dxfId="1450" priority="243" operator="between">
      <formula>0.95</formula>
      <formula>1</formula>
    </cfRule>
  </conditionalFormatting>
  <conditionalFormatting sqref="H7">
    <cfRule type="cellIs" dxfId="1449" priority="242" operator="greaterThan">
      <formula>1</formula>
    </cfRule>
  </conditionalFormatting>
  <conditionalFormatting sqref="D8">
    <cfRule type="cellIs" dxfId="1448" priority="241" stopIfTrue="1" operator="between">
      <formula>0</formula>
      <formula>0.5</formula>
    </cfRule>
  </conditionalFormatting>
  <conditionalFormatting sqref="E8">
    <cfRule type="cellIs" dxfId="1447" priority="240" operator="between">
      <formula>0.51</formula>
      <formula>0.75</formula>
    </cfRule>
  </conditionalFormatting>
  <conditionalFormatting sqref="F8">
    <cfRule type="cellIs" dxfId="1446" priority="239" operator="between">
      <formula>0.76</formula>
      <formula>0.95</formula>
    </cfRule>
  </conditionalFormatting>
  <conditionalFormatting sqref="G8">
    <cfRule type="cellIs" dxfId="1445" priority="238" operator="between">
      <formula>0.95</formula>
      <formula>1</formula>
    </cfRule>
  </conditionalFormatting>
  <conditionalFormatting sqref="H8">
    <cfRule type="cellIs" dxfId="1444" priority="237" operator="greaterThan">
      <formula>1</formula>
    </cfRule>
  </conditionalFormatting>
  <conditionalFormatting sqref="D9">
    <cfRule type="cellIs" dxfId="1443" priority="236" stopIfTrue="1" operator="between">
      <formula>0</formula>
      <formula>0.5</formula>
    </cfRule>
  </conditionalFormatting>
  <conditionalFormatting sqref="E9">
    <cfRule type="cellIs" dxfId="1442" priority="235" operator="between">
      <formula>0.51</formula>
      <formula>0.75</formula>
    </cfRule>
  </conditionalFormatting>
  <conditionalFormatting sqref="F9">
    <cfRule type="cellIs" dxfId="1441" priority="234" operator="between">
      <formula>0.76</formula>
      <formula>0.95</formula>
    </cfRule>
  </conditionalFormatting>
  <conditionalFormatting sqref="G9">
    <cfRule type="cellIs" dxfId="1440" priority="233" operator="between">
      <formula>0.95</formula>
      <formula>1</formula>
    </cfRule>
  </conditionalFormatting>
  <conditionalFormatting sqref="H9">
    <cfRule type="cellIs" dxfId="1439" priority="232" operator="greaterThan">
      <formula>1</formula>
    </cfRule>
  </conditionalFormatting>
  <conditionalFormatting sqref="D11">
    <cfRule type="cellIs" dxfId="1438" priority="231" stopIfTrue="1" operator="between">
      <formula>0</formula>
      <formula>0.5</formula>
    </cfRule>
  </conditionalFormatting>
  <conditionalFormatting sqref="E11">
    <cfRule type="cellIs" dxfId="1437" priority="230" operator="between">
      <formula>0.51</formula>
      <formula>0.75</formula>
    </cfRule>
  </conditionalFormatting>
  <conditionalFormatting sqref="F11">
    <cfRule type="cellIs" dxfId="1436" priority="229" operator="between">
      <formula>0.76</formula>
      <formula>0.95</formula>
    </cfRule>
  </conditionalFormatting>
  <conditionalFormatting sqref="G11">
    <cfRule type="cellIs" dxfId="1435" priority="228" operator="between">
      <formula>0.95</formula>
      <formula>1</formula>
    </cfRule>
  </conditionalFormatting>
  <conditionalFormatting sqref="H11">
    <cfRule type="cellIs" dxfId="1434" priority="227" operator="greaterThan">
      <formula>1</formula>
    </cfRule>
  </conditionalFormatting>
  <conditionalFormatting sqref="S6">
    <cfRule type="cellIs" dxfId="1433" priority="226" stopIfTrue="1" operator="between">
      <formula>0</formula>
      <formula>0.5</formula>
    </cfRule>
  </conditionalFormatting>
  <conditionalFormatting sqref="T6">
    <cfRule type="cellIs" dxfId="1432" priority="225" operator="between">
      <formula>0.51</formula>
      <formula>0.75</formula>
    </cfRule>
  </conditionalFormatting>
  <conditionalFormatting sqref="U6">
    <cfRule type="cellIs" dxfId="1431" priority="224" operator="between">
      <formula>0.76</formula>
      <formula>0.95</formula>
    </cfRule>
  </conditionalFormatting>
  <conditionalFormatting sqref="V6">
    <cfRule type="cellIs" dxfId="1430" priority="223" operator="between">
      <formula>0.95</formula>
      <formula>1</formula>
    </cfRule>
  </conditionalFormatting>
  <conditionalFormatting sqref="W6">
    <cfRule type="cellIs" dxfId="1429" priority="222" operator="greaterThan">
      <formula>1</formula>
    </cfRule>
  </conditionalFormatting>
  <conditionalFormatting sqref="S7">
    <cfRule type="cellIs" dxfId="1428" priority="221" stopIfTrue="1" operator="between">
      <formula>0</formula>
      <formula>0.5</formula>
    </cfRule>
  </conditionalFormatting>
  <conditionalFormatting sqref="T7">
    <cfRule type="cellIs" dxfId="1427" priority="220" operator="between">
      <formula>0.51</formula>
      <formula>0.75</formula>
    </cfRule>
  </conditionalFormatting>
  <conditionalFormatting sqref="U7">
    <cfRule type="cellIs" dxfId="1426" priority="219" operator="between">
      <formula>0.76</formula>
      <formula>0.95</formula>
    </cfRule>
  </conditionalFormatting>
  <conditionalFormatting sqref="V7">
    <cfRule type="cellIs" dxfId="1425" priority="218" operator="between">
      <formula>0.95</formula>
      <formula>1</formula>
    </cfRule>
  </conditionalFormatting>
  <conditionalFormatting sqref="W7">
    <cfRule type="cellIs" dxfId="1424" priority="217" operator="greaterThan">
      <formula>1</formula>
    </cfRule>
  </conditionalFormatting>
  <conditionalFormatting sqref="S8">
    <cfRule type="cellIs" dxfId="1423" priority="216" stopIfTrue="1" operator="between">
      <formula>0</formula>
      <formula>0.5</formula>
    </cfRule>
  </conditionalFormatting>
  <conditionalFormatting sqref="T8">
    <cfRule type="cellIs" dxfId="1422" priority="215" operator="between">
      <formula>0.51</formula>
      <formula>0.75</formula>
    </cfRule>
  </conditionalFormatting>
  <conditionalFormatting sqref="U8">
    <cfRule type="cellIs" dxfId="1421" priority="214" operator="between">
      <formula>0.76</formula>
      <formula>0.95</formula>
    </cfRule>
  </conditionalFormatting>
  <conditionalFormatting sqref="V8">
    <cfRule type="cellIs" dxfId="1420" priority="213" operator="between">
      <formula>0.95</formula>
      <formula>1</formula>
    </cfRule>
  </conditionalFormatting>
  <conditionalFormatting sqref="W8">
    <cfRule type="cellIs" dxfId="1419" priority="212" operator="greaterThan">
      <formula>1</formula>
    </cfRule>
  </conditionalFormatting>
  <conditionalFormatting sqref="S9">
    <cfRule type="cellIs" dxfId="1418" priority="211" stopIfTrue="1" operator="between">
      <formula>0</formula>
      <formula>0.5</formula>
    </cfRule>
  </conditionalFormatting>
  <conditionalFormatting sqref="T9">
    <cfRule type="cellIs" dxfId="1417" priority="210" operator="between">
      <formula>0.51</formula>
      <formula>0.75</formula>
    </cfRule>
  </conditionalFormatting>
  <conditionalFormatting sqref="U9">
    <cfRule type="cellIs" dxfId="1416" priority="209" operator="between">
      <formula>0.76</formula>
      <formula>0.95</formula>
    </cfRule>
  </conditionalFormatting>
  <conditionalFormatting sqref="V9">
    <cfRule type="cellIs" dxfId="1415" priority="208" operator="between">
      <formula>0.95</formula>
      <formula>1</formula>
    </cfRule>
  </conditionalFormatting>
  <conditionalFormatting sqref="W9">
    <cfRule type="cellIs" dxfId="1414" priority="207" operator="greaterThan">
      <formula>1</formula>
    </cfRule>
  </conditionalFormatting>
  <conditionalFormatting sqref="AH6">
    <cfRule type="cellIs" dxfId="1413" priority="206" stopIfTrue="1" operator="between">
      <formula>0</formula>
      <formula>0.5</formula>
    </cfRule>
  </conditionalFormatting>
  <conditionalFormatting sqref="AI6">
    <cfRule type="cellIs" dxfId="1412" priority="205" operator="between">
      <formula>0.51</formula>
      <formula>0.75</formula>
    </cfRule>
  </conditionalFormatting>
  <conditionalFormatting sqref="AJ6">
    <cfRule type="cellIs" dxfId="1411" priority="204" operator="between">
      <formula>0.76</formula>
      <formula>0.95</formula>
    </cfRule>
  </conditionalFormatting>
  <conditionalFormatting sqref="AK6">
    <cfRule type="cellIs" dxfId="1410" priority="203" operator="between">
      <formula>0.95</formula>
      <formula>1</formula>
    </cfRule>
  </conditionalFormatting>
  <conditionalFormatting sqref="AL6">
    <cfRule type="cellIs" dxfId="1409" priority="202" operator="greaterThan">
      <formula>1</formula>
    </cfRule>
  </conditionalFormatting>
  <conditionalFormatting sqref="AH7">
    <cfRule type="cellIs" dxfId="1408" priority="201" stopIfTrue="1" operator="between">
      <formula>0</formula>
      <formula>0.5</formula>
    </cfRule>
  </conditionalFormatting>
  <conditionalFormatting sqref="AI7">
    <cfRule type="cellIs" dxfId="1407" priority="200" operator="between">
      <formula>0.51</formula>
      <formula>0.75</formula>
    </cfRule>
  </conditionalFormatting>
  <conditionalFormatting sqref="AJ7">
    <cfRule type="cellIs" dxfId="1406" priority="199" operator="between">
      <formula>0.76</formula>
      <formula>0.95</formula>
    </cfRule>
  </conditionalFormatting>
  <conditionalFormatting sqref="AK7">
    <cfRule type="cellIs" dxfId="1405" priority="198" operator="between">
      <formula>0.95</formula>
      <formula>1</formula>
    </cfRule>
  </conditionalFormatting>
  <conditionalFormatting sqref="AL7">
    <cfRule type="cellIs" dxfId="1404" priority="197" operator="greaterThan">
      <formula>1</formula>
    </cfRule>
  </conditionalFormatting>
  <conditionalFormatting sqref="AH8">
    <cfRule type="cellIs" dxfId="1403" priority="196" stopIfTrue="1" operator="between">
      <formula>0</formula>
      <formula>0.5</formula>
    </cfRule>
  </conditionalFormatting>
  <conditionalFormatting sqref="AI8">
    <cfRule type="cellIs" dxfId="1402" priority="195" operator="between">
      <formula>0.51</formula>
      <formula>0.75</formula>
    </cfRule>
  </conditionalFormatting>
  <conditionalFormatting sqref="AJ8">
    <cfRule type="cellIs" dxfId="1401" priority="194" operator="between">
      <formula>0.76</formula>
      <formula>0.95</formula>
    </cfRule>
  </conditionalFormatting>
  <conditionalFormatting sqref="AK8">
    <cfRule type="cellIs" dxfId="1400" priority="193" operator="between">
      <formula>0.95</formula>
      <formula>1</formula>
    </cfRule>
  </conditionalFormatting>
  <conditionalFormatting sqref="AL8">
    <cfRule type="cellIs" dxfId="1399" priority="192" operator="greaterThan">
      <formula>1</formula>
    </cfRule>
  </conditionalFormatting>
  <conditionalFormatting sqref="AH9">
    <cfRule type="cellIs" dxfId="1398" priority="191" stopIfTrue="1" operator="between">
      <formula>0</formula>
      <formula>0.5</formula>
    </cfRule>
  </conditionalFormatting>
  <conditionalFormatting sqref="AI9">
    <cfRule type="cellIs" dxfId="1397" priority="190" operator="between">
      <formula>0.51</formula>
      <formula>0.75</formula>
    </cfRule>
  </conditionalFormatting>
  <conditionalFormatting sqref="AJ9">
    <cfRule type="cellIs" dxfId="1396" priority="189" operator="between">
      <formula>0.76</formula>
      <formula>0.95</formula>
    </cfRule>
  </conditionalFormatting>
  <conditionalFormatting sqref="AK9">
    <cfRule type="cellIs" dxfId="1395" priority="188" operator="between">
      <formula>0.95</formula>
      <formula>1</formula>
    </cfRule>
  </conditionalFormatting>
  <conditionalFormatting sqref="AL9">
    <cfRule type="cellIs" dxfId="1394" priority="187" operator="greaterThan">
      <formula>1</formula>
    </cfRule>
  </conditionalFormatting>
  <conditionalFormatting sqref="AW6">
    <cfRule type="cellIs" dxfId="1393" priority="186" stopIfTrue="1" operator="between">
      <formula>0</formula>
      <formula>0.5</formula>
    </cfRule>
  </conditionalFormatting>
  <conditionalFormatting sqref="AX6">
    <cfRule type="cellIs" dxfId="1392" priority="185" operator="between">
      <formula>0.51</formula>
      <formula>0.75</formula>
    </cfRule>
  </conditionalFormatting>
  <conditionalFormatting sqref="AY6">
    <cfRule type="cellIs" dxfId="1391" priority="184" operator="between">
      <formula>0.76</formula>
      <formula>0.95</formula>
    </cfRule>
  </conditionalFormatting>
  <conditionalFormatting sqref="AZ6">
    <cfRule type="cellIs" dxfId="1390" priority="183" operator="between">
      <formula>0.95</formula>
      <formula>1</formula>
    </cfRule>
  </conditionalFormatting>
  <conditionalFormatting sqref="BA6">
    <cfRule type="cellIs" dxfId="1389" priority="182" operator="greaterThan">
      <formula>1</formula>
    </cfRule>
  </conditionalFormatting>
  <conditionalFormatting sqref="AW7">
    <cfRule type="cellIs" dxfId="1388" priority="181" stopIfTrue="1" operator="between">
      <formula>0</formula>
      <formula>0.5</formula>
    </cfRule>
  </conditionalFormatting>
  <conditionalFormatting sqref="AX7">
    <cfRule type="cellIs" dxfId="1387" priority="180" operator="between">
      <formula>0.51</formula>
      <formula>0.75</formula>
    </cfRule>
  </conditionalFormatting>
  <conditionalFormatting sqref="AY7">
    <cfRule type="cellIs" dxfId="1386" priority="179" operator="between">
      <formula>0.76</formula>
      <formula>0.95</formula>
    </cfRule>
  </conditionalFormatting>
  <conditionalFormatting sqref="AZ7">
    <cfRule type="cellIs" dxfId="1385" priority="178" operator="between">
      <formula>0.95</formula>
      <formula>1</formula>
    </cfRule>
  </conditionalFormatting>
  <conditionalFormatting sqref="BA7">
    <cfRule type="cellIs" dxfId="1384" priority="177" operator="greaterThan">
      <formula>1</formula>
    </cfRule>
  </conditionalFormatting>
  <conditionalFormatting sqref="AW8">
    <cfRule type="cellIs" dxfId="1383" priority="176" stopIfTrue="1" operator="between">
      <formula>0</formula>
      <formula>0.5</formula>
    </cfRule>
  </conditionalFormatting>
  <conditionalFormatting sqref="AX8">
    <cfRule type="cellIs" dxfId="1382" priority="175" operator="between">
      <formula>0.51</formula>
      <formula>0.75</formula>
    </cfRule>
  </conditionalFormatting>
  <conditionalFormatting sqref="AY8">
    <cfRule type="cellIs" dxfId="1381" priority="174" operator="between">
      <formula>0.76</formula>
      <formula>0.95</formula>
    </cfRule>
  </conditionalFormatting>
  <conditionalFormatting sqref="AZ8">
    <cfRule type="cellIs" dxfId="1380" priority="173" operator="between">
      <formula>0.95</formula>
      <formula>1</formula>
    </cfRule>
  </conditionalFormatting>
  <conditionalFormatting sqref="BA8">
    <cfRule type="cellIs" dxfId="1379" priority="172" operator="greaterThan">
      <formula>1</formula>
    </cfRule>
  </conditionalFormatting>
  <conditionalFormatting sqref="AW9">
    <cfRule type="cellIs" dxfId="1378" priority="171" stopIfTrue="1" operator="between">
      <formula>0</formula>
      <formula>0.5</formula>
    </cfRule>
  </conditionalFormatting>
  <conditionalFormatting sqref="AX9">
    <cfRule type="cellIs" dxfId="1377" priority="170" operator="between">
      <formula>0.51</formula>
      <formula>0.75</formula>
    </cfRule>
  </conditionalFormatting>
  <conditionalFormatting sqref="AY9">
    <cfRule type="cellIs" dxfId="1376" priority="169" operator="between">
      <formula>0.76</formula>
      <formula>0.95</formula>
    </cfRule>
  </conditionalFormatting>
  <conditionalFormatting sqref="AZ9">
    <cfRule type="cellIs" dxfId="1375" priority="168" operator="between">
      <formula>0.95</formula>
      <formula>1</formula>
    </cfRule>
  </conditionalFormatting>
  <conditionalFormatting sqref="BA9">
    <cfRule type="cellIs" dxfId="1374" priority="167" operator="greaterThan">
      <formula>1</formula>
    </cfRule>
  </conditionalFormatting>
  <conditionalFormatting sqref="S11">
    <cfRule type="cellIs" dxfId="1373" priority="166" stopIfTrue="1" operator="between">
      <formula>0</formula>
      <formula>0.5</formula>
    </cfRule>
  </conditionalFormatting>
  <conditionalFormatting sqref="T11">
    <cfRule type="cellIs" dxfId="1372" priority="165" operator="between">
      <formula>0.51</formula>
      <formula>0.75</formula>
    </cfRule>
  </conditionalFormatting>
  <conditionalFormatting sqref="U11">
    <cfRule type="cellIs" dxfId="1371" priority="164" operator="between">
      <formula>0.76</formula>
      <formula>0.95</formula>
    </cfRule>
  </conditionalFormatting>
  <conditionalFormatting sqref="V11">
    <cfRule type="cellIs" dxfId="1370" priority="163" operator="between">
      <formula>0.95</formula>
      <formula>1</formula>
    </cfRule>
  </conditionalFormatting>
  <conditionalFormatting sqref="W11">
    <cfRule type="cellIs" dxfId="1369" priority="162" operator="greaterThan">
      <formula>1</formula>
    </cfRule>
  </conditionalFormatting>
  <conditionalFormatting sqref="AH11">
    <cfRule type="cellIs" dxfId="1368" priority="161" stopIfTrue="1" operator="between">
      <formula>0</formula>
      <formula>0.5</formula>
    </cfRule>
  </conditionalFormatting>
  <conditionalFormatting sqref="AI11">
    <cfRule type="cellIs" dxfId="1367" priority="160" operator="between">
      <formula>0.51</formula>
      <formula>0.75</formula>
    </cfRule>
  </conditionalFormatting>
  <conditionalFormatting sqref="AJ11">
    <cfRule type="cellIs" dxfId="1366" priority="159" operator="between">
      <formula>0.76</formula>
      <formula>0.95</formula>
    </cfRule>
  </conditionalFormatting>
  <conditionalFormatting sqref="AK11">
    <cfRule type="cellIs" dxfId="1365" priority="158" operator="between">
      <formula>0.95</formula>
      <formula>1</formula>
    </cfRule>
  </conditionalFormatting>
  <conditionalFormatting sqref="AL11">
    <cfRule type="cellIs" dxfId="1364" priority="157" operator="greaterThan">
      <formula>1</formula>
    </cfRule>
  </conditionalFormatting>
  <conditionalFormatting sqref="AW11">
    <cfRule type="cellIs" dxfId="1363" priority="156" stopIfTrue="1" operator="between">
      <formula>0</formula>
      <formula>0.5</formula>
    </cfRule>
  </conditionalFormatting>
  <conditionalFormatting sqref="AX11">
    <cfRule type="cellIs" dxfId="1362" priority="155" operator="between">
      <formula>0.51</formula>
      <formula>0.75</formula>
    </cfRule>
  </conditionalFormatting>
  <conditionalFormatting sqref="AY11">
    <cfRule type="cellIs" dxfId="1361" priority="154" operator="between">
      <formula>0.76</formula>
      <formula>0.95</formula>
    </cfRule>
  </conditionalFormatting>
  <conditionalFormatting sqref="AZ11">
    <cfRule type="cellIs" dxfId="1360" priority="153" operator="between">
      <formula>0.95</formula>
      <formula>1</formula>
    </cfRule>
  </conditionalFormatting>
  <conditionalFormatting sqref="BA11">
    <cfRule type="cellIs" dxfId="1359" priority="152" operator="greaterThan">
      <formula>1</formula>
    </cfRule>
  </conditionalFormatting>
  <conditionalFormatting sqref="L6">
    <cfRule type="cellIs" dxfId="1358" priority="151" operator="between">
      <formula>0.1251</formula>
      <formula>0.19</formula>
    </cfRule>
  </conditionalFormatting>
  <conditionalFormatting sqref="M6">
    <cfRule type="cellIs" dxfId="1357" priority="150" operator="between">
      <formula>0.191</formula>
      <formula>0.24</formula>
    </cfRule>
  </conditionalFormatting>
  <conditionalFormatting sqref="N6">
    <cfRule type="cellIs" dxfId="1356" priority="149" operator="between">
      <formula>0.2401</formula>
      <formula>0.26</formula>
    </cfRule>
  </conditionalFormatting>
  <conditionalFormatting sqref="O6">
    <cfRule type="cellIs" dxfId="1355" priority="148" operator="greaterThan">
      <formula>0.2601</formula>
    </cfRule>
  </conditionalFormatting>
  <conditionalFormatting sqref="K7">
    <cfRule type="cellIs" dxfId="1354" priority="147" stopIfTrue="1" operator="between">
      <formula>0</formula>
      <formula>0.125</formula>
    </cfRule>
  </conditionalFormatting>
  <conditionalFormatting sqref="L7">
    <cfRule type="cellIs" dxfId="1353" priority="146" operator="between">
      <formula>0.1251</formula>
      <formula>0.19</formula>
    </cfRule>
  </conditionalFormatting>
  <conditionalFormatting sqref="M7">
    <cfRule type="cellIs" dxfId="1352" priority="145" operator="between">
      <formula>0.191</formula>
      <formula>0.24</formula>
    </cfRule>
  </conditionalFormatting>
  <conditionalFormatting sqref="N7">
    <cfRule type="cellIs" dxfId="1351" priority="144" operator="between">
      <formula>0.2401</formula>
      <formula>0.26</formula>
    </cfRule>
  </conditionalFormatting>
  <conditionalFormatting sqref="K8">
    <cfRule type="cellIs" dxfId="1350" priority="143" stopIfTrue="1" operator="between">
      <formula>0</formula>
      <formula>0.125</formula>
    </cfRule>
  </conditionalFormatting>
  <conditionalFormatting sqref="L8">
    <cfRule type="cellIs" dxfId="1349" priority="142" operator="between">
      <formula>0.1251</formula>
      <formula>0.19</formula>
    </cfRule>
  </conditionalFormatting>
  <conditionalFormatting sqref="M8">
    <cfRule type="cellIs" dxfId="1348" priority="141" operator="between">
      <formula>0.191</formula>
      <formula>0.24</formula>
    </cfRule>
  </conditionalFormatting>
  <conditionalFormatting sqref="N8">
    <cfRule type="cellIs" dxfId="1347" priority="140" operator="between">
      <formula>0.2401</formula>
      <formula>0.26</formula>
    </cfRule>
  </conditionalFormatting>
  <conditionalFormatting sqref="K9">
    <cfRule type="cellIs" dxfId="1346" priority="139" stopIfTrue="1" operator="between">
      <formula>0</formula>
      <formula>0.125</formula>
    </cfRule>
  </conditionalFormatting>
  <conditionalFormatting sqref="L9">
    <cfRule type="cellIs" dxfId="1345" priority="138" operator="between">
      <formula>0.1251</formula>
      <formula>0.19</formula>
    </cfRule>
  </conditionalFormatting>
  <conditionalFormatting sqref="M9">
    <cfRule type="cellIs" dxfId="1344" priority="137" operator="between">
      <formula>0.191</formula>
      <formula>0.24</formula>
    </cfRule>
  </conditionalFormatting>
  <conditionalFormatting sqref="N9">
    <cfRule type="cellIs" dxfId="1343" priority="136" operator="between">
      <formula>0.2401</formula>
      <formula>0.26</formula>
    </cfRule>
  </conditionalFormatting>
  <conditionalFormatting sqref="K11">
    <cfRule type="cellIs" dxfId="1342" priority="135" stopIfTrue="1" operator="between">
      <formula>0</formula>
      <formula>0.125</formula>
    </cfRule>
  </conditionalFormatting>
  <conditionalFormatting sqref="L11">
    <cfRule type="cellIs" dxfId="1341" priority="134" operator="between">
      <formula>0.1251</formula>
      <formula>0.19</formula>
    </cfRule>
  </conditionalFormatting>
  <conditionalFormatting sqref="M11">
    <cfRule type="cellIs" dxfId="1340" priority="133" operator="between">
      <formula>0.191</formula>
      <formula>0.24</formula>
    </cfRule>
  </conditionalFormatting>
  <conditionalFormatting sqref="N11">
    <cfRule type="cellIs" dxfId="1339" priority="132" operator="between">
      <formula>0.2401</formula>
      <formula>0.26</formula>
    </cfRule>
  </conditionalFormatting>
  <conditionalFormatting sqref="O7">
    <cfRule type="cellIs" dxfId="1338" priority="131" operator="greaterThan">
      <formula>0.2601</formula>
    </cfRule>
  </conditionalFormatting>
  <conditionalFormatting sqref="O8">
    <cfRule type="cellIs" dxfId="1337" priority="130" operator="greaterThan">
      <formula>0.2601</formula>
    </cfRule>
  </conditionalFormatting>
  <conditionalFormatting sqref="O9">
    <cfRule type="cellIs" dxfId="1336" priority="129" operator="greaterThan">
      <formula>0.2601</formula>
    </cfRule>
  </conditionalFormatting>
  <conditionalFormatting sqref="O11">
    <cfRule type="cellIs" dxfId="1335" priority="128" operator="greaterThan">
      <formula>0.2601</formula>
    </cfRule>
  </conditionalFormatting>
  <conditionalFormatting sqref="AA6">
    <cfRule type="cellIs" dxfId="1334" priority="127" operator="between">
      <formula>0.2551</formula>
      <formula>0.375</formula>
    </cfRule>
  </conditionalFormatting>
  <conditionalFormatting sqref="AB6">
    <cfRule type="cellIs" dxfId="1333" priority="126" operator="between">
      <formula>0.38</formula>
      <formula>0.475</formula>
    </cfRule>
  </conditionalFormatting>
  <conditionalFormatting sqref="AC6">
    <cfRule type="cellIs" dxfId="1332" priority="125" operator="between">
      <formula>0.48</formula>
      <formula>0.51</formula>
    </cfRule>
  </conditionalFormatting>
  <conditionalFormatting sqref="AD6:AE6">
    <cfRule type="cellIs" dxfId="1331" priority="124" operator="greaterThan">
      <formula>0.505</formula>
    </cfRule>
  </conditionalFormatting>
  <conditionalFormatting sqref="Z7">
    <cfRule type="cellIs" dxfId="1330" priority="123" stopIfTrue="1" operator="between">
      <formula>0</formula>
      <formula>0.255</formula>
    </cfRule>
  </conditionalFormatting>
  <conditionalFormatting sqref="AA7">
    <cfRule type="cellIs" dxfId="1329" priority="122" operator="between">
      <formula>0.2551</formula>
      <formula>0.375</formula>
    </cfRule>
  </conditionalFormatting>
  <conditionalFormatting sqref="AB7">
    <cfRule type="cellIs" dxfId="1328" priority="121" operator="between">
      <formula>0.38</formula>
      <formula>0.475</formula>
    </cfRule>
  </conditionalFormatting>
  <conditionalFormatting sqref="AC7">
    <cfRule type="cellIs" dxfId="1327" priority="120" operator="between">
      <formula>0.48</formula>
      <formula>0.51</formula>
    </cfRule>
  </conditionalFormatting>
  <conditionalFormatting sqref="AD7:AE7">
    <cfRule type="cellIs" dxfId="1326" priority="119" operator="greaterThan">
      <formula>0.505</formula>
    </cfRule>
  </conditionalFormatting>
  <conditionalFormatting sqref="Z8">
    <cfRule type="cellIs" dxfId="1325" priority="118" stopIfTrue="1" operator="between">
      <formula>0</formula>
      <formula>0.255</formula>
    </cfRule>
  </conditionalFormatting>
  <conditionalFormatting sqref="AA8">
    <cfRule type="cellIs" dxfId="1324" priority="117" operator="between">
      <formula>0.2551</formula>
      <formula>0.375</formula>
    </cfRule>
  </conditionalFormatting>
  <conditionalFormatting sqref="AB8">
    <cfRule type="cellIs" dxfId="1323" priority="116" operator="between">
      <formula>0.38</formula>
      <formula>0.475</formula>
    </cfRule>
  </conditionalFormatting>
  <conditionalFormatting sqref="AC8">
    <cfRule type="cellIs" dxfId="1322" priority="115" operator="between">
      <formula>0.48</formula>
      <formula>0.51</formula>
    </cfRule>
  </conditionalFormatting>
  <conditionalFormatting sqref="AD8:AE8">
    <cfRule type="cellIs" dxfId="1321" priority="114" operator="greaterThan">
      <formula>0.505</formula>
    </cfRule>
  </conditionalFormatting>
  <conditionalFormatting sqref="Z9">
    <cfRule type="cellIs" dxfId="1320" priority="113" stopIfTrue="1" operator="between">
      <formula>0</formula>
      <formula>0.255</formula>
    </cfRule>
  </conditionalFormatting>
  <conditionalFormatting sqref="AA9">
    <cfRule type="cellIs" dxfId="1319" priority="112" operator="between">
      <formula>0.2551</formula>
      <formula>0.375</formula>
    </cfRule>
  </conditionalFormatting>
  <conditionalFormatting sqref="AB9">
    <cfRule type="cellIs" dxfId="1318" priority="111" operator="between">
      <formula>0.38</formula>
      <formula>0.475</formula>
    </cfRule>
  </conditionalFormatting>
  <conditionalFormatting sqref="AC9">
    <cfRule type="cellIs" dxfId="1317" priority="110" operator="between">
      <formula>0.48</formula>
      <formula>0.51</formula>
    </cfRule>
  </conditionalFormatting>
  <conditionalFormatting sqref="AD9:AE9">
    <cfRule type="cellIs" dxfId="1316" priority="109" operator="greaterThan">
      <formula>0.505</formula>
    </cfRule>
  </conditionalFormatting>
  <conditionalFormatting sqref="Z11">
    <cfRule type="cellIs" dxfId="1315" priority="108" stopIfTrue="1" operator="between">
      <formula>0</formula>
      <formula>0.255</formula>
    </cfRule>
  </conditionalFormatting>
  <conditionalFormatting sqref="AA11">
    <cfRule type="cellIs" dxfId="1314" priority="107" operator="between">
      <formula>0.2551</formula>
      <formula>0.375</formula>
    </cfRule>
  </conditionalFormatting>
  <conditionalFormatting sqref="AB11">
    <cfRule type="cellIs" dxfId="1313" priority="106" operator="between">
      <formula>0.38</formula>
      <formula>0.475</formula>
    </cfRule>
  </conditionalFormatting>
  <conditionalFormatting sqref="AC11">
    <cfRule type="cellIs" dxfId="1312" priority="105" operator="between">
      <formula>0.48</formula>
      <formula>0.51</formula>
    </cfRule>
  </conditionalFormatting>
  <conditionalFormatting sqref="AD11:AE11">
    <cfRule type="cellIs" dxfId="1311" priority="104" operator="greaterThan">
      <formula>0.505</formula>
    </cfRule>
  </conditionalFormatting>
  <conditionalFormatting sqref="AP6">
    <cfRule type="cellIs" dxfId="1310" priority="103" operator="between">
      <formula>0.3751</formula>
      <formula>0.5625</formula>
    </cfRule>
  </conditionalFormatting>
  <conditionalFormatting sqref="AQ6">
    <cfRule type="cellIs" dxfId="1309" priority="102" operator="between">
      <formula>0.563</formula>
      <formula>0.7125</formula>
    </cfRule>
  </conditionalFormatting>
  <conditionalFormatting sqref="AR6">
    <cfRule type="cellIs" dxfId="1308" priority="101" operator="between">
      <formula>0.713</formula>
      <formula>0.75</formula>
    </cfRule>
  </conditionalFormatting>
  <conditionalFormatting sqref="AS6">
    <cfRule type="cellIs" dxfId="1307" priority="100" operator="greaterThan">
      <formula>0.755</formula>
    </cfRule>
  </conditionalFormatting>
  <conditionalFormatting sqref="AO7">
    <cfRule type="cellIs" dxfId="1306" priority="99" stopIfTrue="1" operator="between">
      <formula>0</formula>
      <formula>0.375</formula>
    </cfRule>
  </conditionalFormatting>
  <conditionalFormatting sqref="AP7">
    <cfRule type="cellIs" dxfId="1305" priority="98" operator="between">
      <formula>0.3751</formula>
      <formula>0.5625</formula>
    </cfRule>
  </conditionalFormatting>
  <conditionalFormatting sqref="AQ7">
    <cfRule type="cellIs" dxfId="1304" priority="97" operator="between">
      <formula>0.563</formula>
      <formula>0.7125</formula>
    </cfRule>
  </conditionalFormatting>
  <conditionalFormatting sqref="AR7">
    <cfRule type="cellIs" dxfId="1303" priority="96" operator="between">
      <formula>0.713</formula>
      <formula>0.75</formula>
    </cfRule>
  </conditionalFormatting>
  <conditionalFormatting sqref="AS7">
    <cfRule type="cellIs" dxfId="1302" priority="95" operator="greaterThan">
      <formula>0.755</formula>
    </cfRule>
  </conditionalFormatting>
  <conditionalFormatting sqref="AO8">
    <cfRule type="cellIs" dxfId="1301" priority="94" stopIfTrue="1" operator="between">
      <formula>0</formula>
      <formula>0.375</formula>
    </cfRule>
  </conditionalFormatting>
  <conditionalFormatting sqref="AP8">
    <cfRule type="cellIs" dxfId="1300" priority="93" operator="between">
      <formula>0.3751</formula>
      <formula>0.5625</formula>
    </cfRule>
  </conditionalFormatting>
  <conditionalFormatting sqref="AQ8">
    <cfRule type="cellIs" dxfId="1299" priority="92" operator="between">
      <formula>0.563</formula>
      <formula>0.7125</formula>
    </cfRule>
  </conditionalFormatting>
  <conditionalFormatting sqref="AR8">
    <cfRule type="cellIs" dxfId="1298" priority="91" operator="between">
      <formula>0.713</formula>
      <formula>0.75</formula>
    </cfRule>
  </conditionalFormatting>
  <conditionalFormatting sqref="AS8">
    <cfRule type="cellIs" dxfId="1297" priority="90" operator="greaterThan">
      <formula>0.755</formula>
    </cfRule>
  </conditionalFormatting>
  <conditionalFormatting sqref="AO9">
    <cfRule type="cellIs" dxfId="1296" priority="89" stopIfTrue="1" operator="between">
      <formula>0</formula>
      <formula>0.375</formula>
    </cfRule>
  </conditionalFormatting>
  <conditionalFormatting sqref="AP9">
    <cfRule type="cellIs" dxfId="1295" priority="88" operator="between">
      <formula>0.3751</formula>
      <formula>0.5625</formula>
    </cfRule>
  </conditionalFormatting>
  <conditionalFormatting sqref="AQ9">
    <cfRule type="cellIs" dxfId="1294" priority="87" operator="between">
      <formula>0.563</formula>
      <formula>0.7125</formula>
    </cfRule>
  </conditionalFormatting>
  <conditionalFormatting sqref="AR9">
    <cfRule type="cellIs" dxfId="1293" priority="86" operator="between">
      <formula>0.713</formula>
      <formula>0.75</formula>
    </cfRule>
  </conditionalFormatting>
  <conditionalFormatting sqref="AS9">
    <cfRule type="cellIs" dxfId="1292" priority="85" operator="greaterThan">
      <formula>0.755</formula>
    </cfRule>
  </conditionalFormatting>
  <conditionalFormatting sqref="AO11">
    <cfRule type="cellIs" dxfId="1291" priority="84" stopIfTrue="1" operator="between">
      <formula>0</formula>
      <formula>0.375</formula>
    </cfRule>
  </conditionalFormatting>
  <conditionalFormatting sqref="AP11">
    <cfRule type="cellIs" dxfId="1290" priority="83" operator="between">
      <formula>0.3751</formula>
      <formula>0.5625</formula>
    </cfRule>
  </conditionalFormatting>
  <conditionalFormatting sqref="AQ11">
    <cfRule type="cellIs" dxfId="1289" priority="82" operator="between">
      <formula>0.563</formula>
      <formula>0.7125</formula>
    </cfRule>
  </conditionalFormatting>
  <conditionalFormatting sqref="AR11">
    <cfRule type="cellIs" dxfId="1288" priority="81" operator="between">
      <formula>0.713</formula>
      <formula>0.75</formula>
    </cfRule>
  </conditionalFormatting>
  <conditionalFormatting sqref="AS11">
    <cfRule type="cellIs" dxfId="1287" priority="80" operator="greaterThan">
      <formula>0.755</formula>
    </cfRule>
  </conditionalFormatting>
  <conditionalFormatting sqref="BD6">
    <cfRule type="cellIs" dxfId="1286" priority="79" operator="between">
      <formula>0.51</formula>
      <formula>0.75</formula>
    </cfRule>
  </conditionalFormatting>
  <conditionalFormatting sqref="BE6">
    <cfRule type="cellIs" dxfId="1285" priority="78" operator="between">
      <formula>0.76</formula>
      <formula>0.95</formula>
    </cfRule>
  </conditionalFormatting>
  <conditionalFormatting sqref="BF6">
    <cfRule type="cellIs" dxfId="1284" priority="77" operator="between">
      <formula>0.95</formula>
      <formula>1</formula>
    </cfRule>
  </conditionalFormatting>
  <conditionalFormatting sqref="BG6">
    <cfRule type="cellIs" dxfId="1283" priority="76" operator="greaterThan">
      <formula>1</formula>
    </cfRule>
  </conditionalFormatting>
  <conditionalFormatting sqref="BC7">
    <cfRule type="cellIs" dxfId="1282" priority="75" stopIfTrue="1" operator="between">
      <formula>0</formula>
      <formula>0.5</formula>
    </cfRule>
  </conditionalFormatting>
  <conditionalFormatting sqref="BD7">
    <cfRule type="cellIs" dxfId="1281" priority="74" operator="between">
      <formula>0.51</formula>
      <formula>0.75</formula>
    </cfRule>
  </conditionalFormatting>
  <conditionalFormatting sqref="BE7">
    <cfRule type="cellIs" dxfId="1280" priority="73" operator="between">
      <formula>0.76</formula>
      <formula>0.95</formula>
    </cfRule>
  </conditionalFormatting>
  <conditionalFormatting sqref="BF7">
    <cfRule type="cellIs" dxfId="1279" priority="72" operator="between">
      <formula>0.95</formula>
      <formula>1</formula>
    </cfRule>
  </conditionalFormatting>
  <conditionalFormatting sqref="BG7">
    <cfRule type="cellIs" dxfId="1278" priority="71" operator="greaterThan">
      <formula>1</formula>
    </cfRule>
  </conditionalFormatting>
  <conditionalFormatting sqref="BC8">
    <cfRule type="cellIs" dxfId="1277" priority="70" stopIfTrue="1" operator="between">
      <formula>0</formula>
      <formula>0.5</formula>
    </cfRule>
  </conditionalFormatting>
  <conditionalFormatting sqref="BD8">
    <cfRule type="cellIs" dxfId="1276" priority="69" operator="between">
      <formula>0.51</formula>
      <formula>0.75</formula>
    </cfRule>
  </conditionalFormatting>
  <conditionalFormatting sqref="BE8">
    <cfRule type="cellIs" dxfId="1275" priority="68" operator="between">
      <formula>0.76</formula>
      <formula>0.95</formula>
    </cfRule>
  </conditionalFormatting>
  <conditionalFormatting sqref="BF8">
    <cfRule type="cellIs" dxfId="1274" priority="67" operator="between">
      <formula>0.95</formula>
      <formula>1</formula>
    </cfRule>
  </conditionalFormatting>
  <conditionalFormatting sqref="BG8">
    <cfRule type="cellIs" dxfId="1273" priority="66" operator="greaterThan">
      <formula>1</formula>
    </cfRule>
  </conditionalFormatting>
  <conditionalFormatting sqref="BC9">
    <cfRule type="cellIs" dxfId="1272" priority="65" stopIfTrue="1" operator="between">
      <formula>0</formula>
      <formula>0.5</formula>
    </cfRule>
  </conditionalFormatting>
  <conditionalFormatting sqref="BD9">
    <cfRule type="cellIs" dxfId="1271" priority="64" operator="between">
      <formula>0.51</formula>
      <formula>0.75</formula>
    </cfRule>
  </conditionalFormatting>
  <conditionalFormatting sqref="BE9">
    <cfRule type="cellIs" dxfId="1270" priority="63" operator="between">
      <formula>0.76</formula>
      <formula>0.95</formula>
    </cfRule>
  </conditionalFormatting>
  <conditionalFormatting sqref="BF9">
    <cfRule type="cellIs" dxfId="1269" priority="62" operator="between">
      <formula>0.95</formula>
      <formula>1</formula>
    </cfRule>
  </conditionalFormatting>
  <conditionalFormatting sqref="BG9">
    <cfRule type="cellIs" dxfId="1268" priority="61" operator="greaterThan">
      <formula>1</formula>
    </cfRule>
  </conditionalFormatting>
  <conditionalFormatting sqref="BC11">
    <cfRule type="cellIs" dxfId="1267" priority="60" stopIfTrue="1" operator="between">
      <formula>0</formula>
      <formula>0.5</formula>
    </cfRule>
  </conditionalFormatting>
  <conditionalFormatting sqref="BD11">
    <cfRule type="cellIs" dxfId="1266" priority="59" operator="between">
      <formula>0.51</formula>
      <formula>0.75</formula>
    </cfRule>
  </conditionalFormatting>
  <conditionalFormatting sqref="BE11">
    <cfRule type="cellIs" dxfId="1265" priority="58" operator="between">
      <formula>0.76</formula>
      <formula>0.95</formula>
    </cfRule>
  </conditionalFormatting>
  <conditionalFormatting sqref="BF11">
    <cfRule type="cellIs" dxfId="1264" priority="57" operator="between">
      <formula>0.95</formula>
      <formula>1</formula>
    </cfRule>
  </conditionalFormatting>
  <conditionalFormatting sqref="BG11">
    <cfRule type="cellIs" dxfId="1263" priority="56" operator="greaterThan">
      <formula>1</formula>
    </cfRule>
  </conditionalFormatting>
  <conditionalFormatting sqref="D13">
    <cfRule type="cellIs" dxfId="1262" priority="55" stopIfTrue="1" operator="between">
      <formula>0</formula>
      <formula>0.5</formula>
    </cfRule>
  </conditionalFormatting>
  <conditionalFormatting sqref="E13">
    <cfRule type="cellIs" dxfId="1261" priority="54" operator="between">
      <formula>0.51</formula>
      <formula>0.75</formula>
    </cfRule>
  </conditionalFormatting>
  <conditionalFormatting sqref="F13">
    <cfRule type="cellIs" dxfId="1260" priority="53" operator="between">
      <formula>0.76</formula>
      <formula>0.95</formula>
    </cfRule>
  </conditionalFormatting>
  <conditionalFormatting sqref="G13">
    <cfRule type="cellIs" dxfId="1259" priority="52" operator="between">
      <formula>0.95</formula>
      <formula>1</formula>
    </cfRule>
  </conditionalFormatting>
  <conditionalFormatting sqref="H13">
    <cfRule type="cellIs" dxfId="1258" priority="51" operator="greaterThan">
      <formula>1</formula>
    </cfRule>
  </conditionalFormatting>
  <conditionalFormatting sqref="S13">
    <cfRule type="cellIs" dxfId="1257" priority="50" stopIfTrue="1" operator="between">
      <formula>0</formula>
      <formula>0.5</formula>
    </cfRule>
  </conditionalFormatting>
  <conditionalFormatting sqref="T13">
    <cfRule type="cellIs" dxfId="1256" priority="49" operator="between">
      <formula>0.51</formula>
      <formula>0.75</formula>
    </cfRule>
  </conditionalFormatting>
  <conditionalFormatting sqref="U13">
    <cfRule type="cellIs" dxfId="1255" priority="48" operator="between">
      <formula>0.76</formula>
      <formula>0.95</formula>
    </cfRule>
  </conditionalFormatting>
  <conditionalFormatting sqref="V13">
    <cfRule type="cellIs" dxfId="1254" priority="47" operator="between">
      <formula>0.95</formula>
      <formula>1</formula>
    </cfRule>
  </conditionalFormatting>
  <conditionalFormatting sqref="W13">
    <cfRule type="cellIs" dxfId="1253" priority="46" operator="greaterThan">
      <formula>1</formula>
    </cfRule>
  </conditionalFormatting>
  <conditionalFormatting sqref="AH13">
    <cfRule type="cellIs" dxfId="1252" priority="45" stopIfTrue="1" operator="between">
      <formula>0</formula>
      <formula>0.5</formula>
    </cfRule>
  </conditionalFormatting>
  <conditionalFormatting sqref="AI13">
    <cfRule type="cellIs" dxfId="1251" priority="44" operator="between">
      <formula>0.51</formula>
      <formula>0.75</formula>
    </cfRule>
  </conditionalFormatting>
  <conditionalFormatting sqref="AJ13">
    <cfRule type="cellIs" dxfId="1250" priority="43" operator="between">
      <formula>0.76</formula>
      <formula>0.95</formula>
    </cfRule>
  </conditionalFormatting>
  <conditionalFormatting sqref="AK13">
    <cfRule type="cellIs" dxfId="1249" priority="42" operator="between">
      <formula>0.95</formula>
      <formula>1</formula>
    </cfRule>
  </conditionalFormatting>
  <conditionalFormatting sqref="AL13">
    <cfRule type="cellIs" dxfId="1248" priority="41" operator="greaterThan">
      <formula>1</formula>
    </cfRule>
  </conditionalFormatting>
  <conditionalFormatting sqref="AW13">
    <cfRule type="cellIs" dxfId="1247" priority="40" stopIfTrue="1" operator="between">
      <formula>0</formula>
      <formula>0.5</formula>
    </cfRule>
  </conditionalFormatting>
  <conditionalFormatting sqref="AX13">
    <cfRule type="cellIs" dxfId="1246" priority="39" operator="between">
      <formula>0.51</formula>
      <formula>0.75</formula>
    </cfRule>
  </conditionalFormatting>
  <conditionalFormatting sqref="AY13">
    <cfRule type="cellIs" dxfId="1245" priority="38" operator="between">
      <formula>0.76</formula>
      <formula>0.95</formula>
    </cfRule>
  </conditionalFormatting>
  <conditionalFormatting sqref="AZ13">
    <cfRule type="cellIs" dxfId="1244" priority="37" operator="between">
      <formula>0.95</formula>
      <formula>1</formula>
    </cfRule>
  </conditionalFormatting>
  <conditionalFormatting sqref="BA13">
    <cfRule type="cellIs" dxfId="1243" priority="36" operator="greaterThan">
      <formula>1</formula>
    </cfRule>
  </conditionalFormatting>
  <conditionalFormatting sqref="K13">
    <cfRule type="cellIs" dxfId="1242" priority="35" stopIfTrue="1" operator="between">
      <formula>0</formula>
      <formula>0.125</formula>
    </cfRule>
  </conditionalFormatting>
  <conditionalFormatting sqref="L13">
    <cfRule type="cellIs" dxfId="1241" priority="34" operator="between">
      <formula>0.1251</formula>
      <formula>0.19</formula>
    </cfRule>
  </conditionalFormatting>
  <conditionalFormatting sqref="M13">
    <cfRule type="cellIs" dxfId="1240" priority="33" operator="between">
      <formula>0.191</formula>
      <formula>0.24</formula>
    </cfRule>
  </conditionalFormatting>
  <conditionalFormatting sqref="N13">
    <cfRule type="cellIs" dxfId="1239" priority="32" operator="between">
      <formula>0.2401</formula>
      <formula>0.26</formula>
    </cfRule>
  </conditionalFormatting>
  <conditionalFormatting sqref="O13:P13">
    <cfRule type="cellIs" dxfId="1238" priority="31" operator="greaterThan">
      <formula>0.2601</formula>
    </cfRule>
  </conditionalFormatting>
  <conditionalFormatting sqref="AO13">
    <cfRule type="cellIs" dxfId="1237" priority="30" stopIfTrue="1" operator="between">
      <formula>0</formula>
      <formula>0.375</formula>
    </cfRule>
  </conditionalFormatting>
  <conditionalFormatting sqref="AP13">
    <cfRule type="cellIs" dxfId="1236" priority="29" operator="between">
      <formula>0.3751</formula>
      <formula>0.5625</formula>
    </cfRule>
  </conditionalFormatting>
  <conditionalFormatting sqref="AQ13">
    <cfRule type="cellIs" dxfId="1235" priority="28" operator="between">
      <formula>0.563</formula>
      <formula>0.7125</formula>
    </cfRule>
  </conditionalFormatting>
  <conditionalFormatting sqref="AR13">
    <cfRule type="cellIs" dxfId="1234" priority="27" operator="between">
      <formula>0.713</formula>
      <formula>0.75</formula>
    </cfRule>
  </conditionalFormatting>
  <conditionalFormatting sqref="AS13:AT13">
    <cfRule type="cellIs" dxfId="1233" priority="26" operator="greaterThan">
      <formula>0.755</formula>
    </cfRule>
  </conditionalFormatting>
  <conditionalFormatting sqref="BC13">
    <cfRule type="cellIs" dxfId="1232" priority="25" stopIfTrue="1" operator="between">
      <formula>0</formula>
      <formula>0.5</formula>
    </cfRule>
  </conditionalFormatting>
  <conditionalFormatting sqref="BD13">
    <cfRule type="cellIs" dxfId="1231" priority="24" operator="between">
      <formula>0.51</formula>
      <formula>0.75</formula>
    </cfRule>
  </conditionalFormatting>
  <conditionalFormatting sqref="BE13">
    <cfRule type="cellIs" dxfId="1230" priority="23" operator="between">
      <formula>0.76</formula>
      <formula>0.95</formula>
    </cfRule>
  </conditionalFormatting>
  <conditionalFormatting sqref="BF13">
    <cfRule type="cellIs" dxfId="1229" priority="22" operator="between">
      <formula>0.95</formula>
      <formula>1</formula>
    </cfRule>
  </conditionalFormatting>
  <conditionalFormatting sqref="BG13">
    <cfRule type="cellIs" dxfId="1228" priority="21" operator="greaterThan">
      <formula>1</formula>
    </cfRule>
  </conditionalFormatting>
  <conditionalFormatting sqref="Z13">
    <cfRule type="cellIs" dxfId="1227" priority="20" stopIfTrue="1" operator="between">
      <formula>0</formula>
      <formula>0.255</formula>
    </cfRule>
  </conditionalFormatting>
  <conditionalFormatting sqref="AA13">
    <cfRule type="cellIs" dxfId="1226" priority="19" operator="between">
      <formula>0.2551</formula>
      <formula>0.375</formula>
    </cfRule>
  </conditionalFormatting>
  <conditionalFormatting sqref="AB13">
    <cfRule type="cellIs" dxfId="1225" priority="18" operator="between">
      <formula>0.3751</formula>
      <formula>0.475</formula>
    </cfRule>
  </conditionalFormatting>
  <conditionalFormatting sqref="AC13">
    <cfRule type="cellIs" dxfId="1224" priority="17" operator="between">
      <formula>0.48</formula>
      <formula>0.51</formula>
    </cfRule>
  </conditionalFormatting>
  <conditionalFormatting sqref="AD13:AE13">
    <cfRule type="cellIs" dxfId="1223" priority="16" operator="greaterThan">
      <formula>0.505</formula>
    </cfRule>
  </conditionalFormatting>
  <conditionalFormatting sqref="AT6">
    <cfRule type="cellIs" dxfId="1222" priority="15" operator="greaterThan">
      <formula>0.505</formula>
    </cfRule>
  </conditionalFormatting>
  <conditionalFormatting sqref="AT7">
    <cfRule type="cellIs" dxfId="1221" priority="14" operator="greaterThan">
      <formula>0.505</formula>
    </cfRule>
  </conditionalFormatting>
  <conditionalFormatting sqref="AT8">
    <cfRule type="cellIs" dxfId="1220" priority="13" operator="greaterThan">
      <formula>0.505</formula>
    </cfRule>
  </conditionalFormatting>
  <conditionalFormatting sqref="AT9">
    <cfRule type="cellIs" dxfId="1219" priority="12" operator="greaterThan">
      <formula>0.505</formula>
    </cfRule>
  </conditionalFormatting>
  <conditionalFormatting sqref="AT11">
    <cfRule type="cellIs" dxfId="1218" priority="11" operator="greaterThan">
      <formula>0.505</formula>
    </cfRule>
  </conditionalFormatting>
  <conditionalFormatting sqref="BH6">
    <cfRule type="cellIs" dxfId="1217" priority="10" operator="greaterThan">
      <formula>0.505</formula>
    </cfRule>
  </conditionalFormatting>
  <conditionalFormatting sqref="BH7">
    <cfRule type="cellIs" dxfId="1216" priority="9" operator="greaterThan">
      <formula>0.505</formula>
    </cfRule>
  </conditionalFormatting>
  <conditionalFormatting sqref="BH8">
    <cfRule type="cellIs" dxfId="1215" priority="8" operator="greaterThan">
      <formula>0.505</formula>
    </cfRule>
  </conditionalFormatting>
  <conditionalFormatting sqref="BH9">
    <cfRule type="cellIs" dxfId="1214" priority="7" operator="greaterThan">
      <formula>0.505</formula>
    </cfRule>
  </conditionalFormatting>
  <conditionalFormatting sqref="BH11">
    <cfRule type="cellIs" dxfId="1213" priority="6" operator="greaterThan">
      <formula>0.505</formula>
    </cfRule>
  </conditionalFormatting>
  <conditionalFormatting sqref="P6">
    <cfRule type="cellIs" dxfId="1212" priority="5" operator="greaterThan">
      <formula>0.505</formula>
    </cfRule>
  </conditionalFormatting>
  <conditionalFormatting sqref="P7">
    <cfRule type="cellIs" dxfId="1211" priority="4" operator="greaterThan">
      <formula>0.505</formula>
    </cfRule>
  </conditionalFormatting>
  <conditionalFormatting sqref="P8">
    <cfRule type="cellIs" dxfId="1210" priority="3" operator="greaterThan">
      <formula>0.505</formula>
    </cfRule>
  </conditionalFormatting>
  <conditionalFormatting sqref="P9">
    <cfRule type="cellIs" dxfId="1209" priority="2" operator="greaterThan">
      <formula>0.505</formula>
    </cfRule>
  </conditionalFormatting>
  <conditionalFormatting sqref="P11">
    <cfRule type="cellIs" dxfId="1208" priority="1" operator="greaterThan">
      <formula>0.505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11"/>
  <sheetViews>
    <sheetView showGridLines="0" topLeftCell="O5" workbookViewId="0">
      <selection activeCell="V8" sqref="V8"/>
    </sheetView>
  </sheetViews>
  <sheetFormatPr baseColWidth="10" defaultRowHeight="15" x14ac:dyDescent="0.25"/>
  <cols>
    <col min="1" max="1" width="49" customWidth="1"/>
    <col min="2" max="2" width="2.28515625" hidden="1" customWidth="1"/>
    <col min="3" max="3" width="21.7109375" hidden="1" customWidth="1"/>
    <col min="4" max="8" width="3.28515625" hidden="1" customWidth="1"/>
    <col min="9" max="9" width="21.7109375" hidden="1" customWidth="1"/>
    <col min="10" max="14" width="3.28515625" hidden="1"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245"/>
      <c r="B1" s="1230" t="s">
        <v>954</v>
      </c>
      <c r="C1" s="1231"/>
      <c r="D1" s="1231"/>
      <c r="E1" s="1231"/>
      <c r="F1" s="1231"/>
      <c r="G1" s="1231"/>
      <c r="H1" s="1195"/>
      <c r="I1" s="1197" t="s">
        <v>955</v>
      </c>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21"/>
      <c r="AQ1" s="1222"/>
      <c r="AR1" s="1222"/>
      <c r="AS1" s="1222"/>
      <c r="AT1" s="1222"/>
      <c r="AU1" s="1222"/>
      <c r="AV1" s="1222"/>
      <c r="AW1" s="1222"/>
      <c r="AX1" s="1222"/>
      <c r="AY1" s="1222"/>
      <c r="AZ1" s="1222"/>
      <c r="BA1" s="1223"/>
    </row>
    <row r="2" spans="1:53" ht="15" customHeight="1" x14ac:dyDescent="0.25">
      <c r="A2" s="1246"/>
      <c r="B2" s="1232" t="s">
        <v>956</v>
      </c>
      <c r="C2" s="1233"/>
      <c r="D2" s="1233"/>
      <c r="E2" s="1233"/>
      <c r="F2" s="1233"/>
      <c r="G2" s="1233"/>
      <c r="H2" s="1200"/>
      <c r="I2" s="1202" t="s">
        <v>800</v>
      </c>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24"/>
      <c r="AQ2" s="1225"/>
      <c r="AR2" s="1225"/>
      <c r="AS2" s="1225"/>
      <c r="AT2" s="1225"/>
      <c r="AU2" s="1225"/>
      <c r="AV2" s="1225"/>
      <c r="AW2" s="1225"/>
      <c r="AX2" s="1225"/>
      <c r="AY2" s="1225"/>
      <c r="AZ2" s="1225"/>
      <c r="BA2" s="1226"/>
    </row>
    <row r="3" spans="1:53" ht="15.75" customHeight="1" thickBot="1" x14ac:dyDescent="0.3">
      <c r="A3" s="1247"/>
      <c r="B3" s="1234" t="s">
        <v>852</v>
      </c>
      <c r="C3" s="1210"/>
      <c r="D3" s="1210"/>
      <c r="E3" s="1210"/>
      <c r="F3" s="1210"/>
      <c r="G3" s="1210"/>
      <c r="H3" s="1205"/>
      <c r="I3" s="1207" t="s">
        <v>960</v>
      </c>
      <c r="J3" s="1210"/>
      <c r="K3" s="1210"/>
      <c r="L3" s="1210"/>
      <c r="M3" s="1210"/>
      <c r="N3" s="1205"/>
      <c r="O3" s="1235" t="s">
        <v>962</v>
      </c>
      <c r="P3" s="1236"/>
      <c r="Q3" s="1236"/>
      <c r="R3" s="1236"/>
      <c r="S3" s="1236"/>
      <c r="T3" s="1236"/>
      <c r="U3" s="1236"/>
      <c r="V3" s="1236"/>
      <c r="W3" s="1236"/>
      <c r="X3" s="1236"/>
      <c r="Y3" s="1236"/>
      <c r="Z3" s="1236"/>
      <c r="AA3" s="1236"/>
      <c r="AB3" s="1236"/>
      <c r="AC3" s="1236"/>
      <c r="AD3" s="1236"/>
      <c r="AE3" s="1236"/>
      <c r="AF3" s="1236"/>
      <c r="AG3" s="1236"/>
      <c r="AH3" s="1237"/>
      <c r="AI3" s="447" t="s">
        <v>959</v>
      </c>
      <c r="AJ3" s="1207">
        <v>1</v>
      </c>
      <c r="AK3" s="1210"/>
      <c r="AL3" s="1210"/>
      <c r="AM3" s="1210"/>
      <c r="AN3" s="1210"/>
      <c r="AO3" s="1210"/>
      <c r="AP3" s="1227"/>
      <c r="AQ3" s="1228"/>
      <c r="AR3" s="1228"/>
      <c r="AS3" s="1228"/>
      <c r="AT3" s="1228"/>
      <c r="AU3" s="1228"/>
      <c r="AV3" s="1228"/>
      <c r="AW3" s="1228"/>
      <c r="AX3" s="1228"/>
      <c r="AY3" s="1228"/>
      <c r="AZ3" s="1228"/>
      <c r="BA3" s="1229"/>
    </row>
    <row r="4" spans="1:53" ht="15.75" thickBot="1" x14ac:dyDescent="0.3"/>
    <row r="5" spans="1:53" ht="72.75" customHeight="1" thickBot="1" x14ac:dyDescent="0.3">
      <c r="A5" s="289" t="s">
        <v>795</v>
      </c>
      <c r="B5" s="294"/>
      <c r="C5" s="1241" t="s">
        <v>1110</v>
      </c>
      <c r="D5" s="1248"/>
      <c r="E5" s="1248"/>
      <c r="F5" s="1248"/>
      <c r="G5" s="1248"/>
      <c r="H5" s="1249"/>
      <c r="I5" s="1244" t="s">
        <v>1111</v>
      </c>
      <c r="J5" s="1220"/>
      <c r="K5" s="1220"/>
      <c r="L5" s="1220"/>
      <c r="M5" s="1220"/>
      <c r="N5" s="1220"/>
      <c r="P5" s="1241" t="s">
        <v>1112</v>
      </c>
      <c r="Q5" s="1248"/>
      <c r="R5" s="1248"/>
      <c r="S5" s="1248"/>
      <c r="T5" s="1248"/>
      <c r="U5" s="1249"/>
      <c r="V5" s="1244" t="s">
        <v>1113</v>
      </c>
      <c r="W5" s="1220"/>
      <c r="X5" s="1220"/>
      <c r="Y5" s="1220"/>
      <c r="Z5" s="1220"/>
      <c r="AA5" s="1220"/>
      <c r="AB5" s="585"/>
      <c r="AC5" s="1241" t="s">
        <v>1114</v>
      </c>
      <c r="AD5" s="1248"/>
      <c r="AE5" s="1248"/>
      <c r="AF5" s="1248"/>
      <c r="AG5" s="1248"/>
      <c r="AH5" s="1249"/>
      <c r="AI5" s="1244" t="s">
        <v>1115</v>
      </c>
      <c r="AJ5" s="1220"/>
      <c r="AK5" s="1220"/>
      <c r="AL5" s="1220"/>
      <c r="AM5" s="1220"/>
      <c r="AN5" s="1220"/>
      <c r="AO5" s="585"/>
      <c r="AP5" s="1241" t="s">
        <v>1116</v>
      </c>
      <c r="AQ5" s="1248"/>
      <c r="AR5" s="1248"/>
      <c r="AS5" s="1248"/>
      <c r="AT5" s="1248"/>
      <c r="AU5" s="1249"/>
      <c r="AV5" s="1244" t="s">
        <v>1117</v>
      </c>
      <c r="AW5" s="1220"/>
      <c r="AX5" s="1220"/>
      <c r="AY5" s="1220"/>
      <c r="AZ5" s="1220"/>
      <c r="BA5" s="1220"/>
    </row>
    <row r="6" spans="1:53" ht="18" x14ac:dyDescent="0.25">
      <c r="A6" s="295" t="s">
        <v>886</v>
      </c>
      <c r="B6" s="290"/>
      <c r="C6" s="826">
        <f>+('Cuadro Mando Integral Detallado'!I37+'Cuadro Mando Integral Detallado'!I123+'Cuadro Mando Integral Detallado'!I203+'Cuadro Mando Integral Detallado'!I223)/4</f>
        <v>1.0490866845424036</v>
      </c>
      <c r="D6" s="819">
        <f t="shared" ref="D6" si="0">+C6</f>
        <v>1.0490866845424036</v>
      </c>
      <c r="E6" s="795">
        <f t="shared" ref="E6:E11" si="1">+C6</f>
        <v>1.0490866845424036</v>
      </c>
      <c r="F6" s="795">
        <f t="shared" ref="F6:F11" si="2">+C6</f>
        <v>1.0490866845424036</v>
      </c>
      <c r="G6" s="795">
        <f t="shared" ref="G6:G11" si="3">+C6</f>
        <v>1.0490866845424036</v>
      </c>
      <c r="H6" s="580">
        <f t="shared" ref="H6:H11" si="4">+C6</f>
        <v>1.0490866845424036</v>
      </c>
      <c r="I6" s="826">
        <f>+('Cuadro Mando Integral Detallado'!K37+'Cuadro Mando Integral Detallado'!K123+'Cuadro Mando Integral Detallado'!K203+'Cuadro Mando Integral Detallado'!K223)/4</f>
        <v>0.23256805591522051</v>
      </c>
      <c r="J6" s="807">
        <f t="shared" ref="J6:J11" si="5">+I6</f>
        <v>0.23256805591522051</v>
      </c>
      <c r="K6" s="808">
        <f t="shared" ref="K6:K11" si="6">+I6</f>
        <v>0.23256805591522051</v>
      </c>
      <c r="L6" s="808">
        <f t="shared" ref="L6:L11" si="7">+I6</f>
        <v>0.23256805591522051</v>
      </c>
      <c r="M6" s="808">
        <f t="shared" ref="M6:M11" si="8">+I6</f>
        <v>0.23256805591522051</v>
      </c>
      <c r="N6" s="590">
        <f t="shared" ref="N6:N11" si="9">+I6</f>
        <v>0.23256805591522051</v>
      </c>
      <c r="O6" s="177"/>
      <c r="P6" s="826">
        <f>+('Cuadro Mando Integral Detallado'!P37+'Cuadro Mando Integral Detallado'!P123+'Cuadro Mando Integral Detallado'!P203+'Cuadro Mando Integral Detallado'!P223)/4</f>
        <v>1.0953401938472127</v>
      </c>
      <c r="Q6" s="819">
        <f t="shared" ref="Q6:Q11" si="10">+P6</f>
        <v>1.0953401938472127</v>
      </c>
      <c r="R6" s="795">
        <f t="shared" ref="R6:R11" si="11">+P6</f>
        <v>1.0953401938472127</v>
      </c>
      <c r="S6" s="795">
        <f t="shared" ref="S6:S11" si="12">+P6</f>
        <v>1.0953401938472127</v>
      </c>
      <c r="T6" s="795">
        <f t="shared" ref="T6:T11" si="13">+P6</f>
        <v>1.0953401938472127</v>
      </c>
      <c r="U6" s="580">
        <f t="shared" ref="U6:U11" si="14">+P6</f>
        <v>1.0953401938472127</v>
      </c>
      <c r="V6" s="830">
        <f>+('Cuadro Mando Integral Detallado'!R37+'Cuadro Mando Integral Detallado'!R123+'Cuadro Mando Integral Detallado'!R203+'Cuadro Mando Integral Detallado'!R223)/4</f>
        <v>0.4763199138670407</v>
      </c>
      <c r="W6" s="807">
        <f t="shared" ref="W6:W9" si="15">+V6</f>
        <v>0.4763199138670407</v>
      </c>
      <c r="X6" s="808">
        <f t="shared" ref="X6:X11" si="16">+V6</f>
        <v>0.4763199138670407</v>
      </c>
      <c r="Y6" s="808">
        <f t="shared" ref="Y6:Y11" si="17">+V6</f>
        <v>0.4763199138670407</v>
      </c>
      <c r="Z6" s="808">
        <f t="shared" ref="Z6:Z11" si="18">+V6</f>
        <v>0.4763199138670407</v>
      </c>
      <c r="AA6" s="590">
        <f t="shared" ref="AA6:AA11" si="19">+V6</f>
        <v>0.4763199138670407</v>
      </c>
      <c r="AB6" s="588"/>
      <c r="AC6" s="826">
        <f>+('Cuadro Mando Integral Detallado'!W37+'Cuadro Mando Integral Detallado'!W123+'Cuadro Mando Integral Detallado'!W203+'Cuadro Mando Integral Detallado'!W223)/4</f>
        <v>0</v>
      </c>
      <c r="AD6" s="819">
        <f t="shared" ref="AD6:AD11" si="20">+AC6</f>
        <v>0</v>
      </c>
      <c r="AE6" s="795">
        <f t="shared" ref="AE6:AE11" si="21">+AC6</f>
        <v>0</v>
      </c>
      <c r="AF6" s="795">
        <f t="shared" ref="AF6:AF11" si="22">+AC6</f>
        <v>0</v>
      </c>
      <c r="AG6" s="795">
        <f>+AC6</f>
        <v>0</v>
      </c>
      <c r="AH6" s="580">
        <f t="shared" ref="AH6:AH11" si="23">+AC6</f>
        <v>0</v>
      </c>
      <c r="AI6" s="823">
        <f>+('Cuadro Mando Integral Detallado'!Y37+'Cuadro Mando Integral Detallado'!Y123+'Cuadro Mando Integral Detallado'!Y203+'Cuadro Mando Integral Detallado'!Y223)/4</f>
        <v>0.4763199138670407</v>
      </c>
      <c r="AJ6" s="819">
        <f t="shared" ref="AJ6:AJ11" si="24">+AI6</f>
        <v>0.4763199138670407</v>
      </c>
      <c r="AK6" s="808">
        <f t="shared" ref="AK6:AK11" si="25">+AI6</f>
        <v>0.4763199138670407</v>
      </c>
      <c r="AL6" s="808">
        <f t="shared" ref="AL6:AL11" si="26">+AI6</f>
        <v>0.4763199138670407</v>
      </c>
      <c r="AM6" s="808">
        <f t="shared" ref="AM6:AM11" si="27">+AI6</f>
        <v>0.4763199138670407</v>
      </c>
      <c r="AN6" s="590">
        <f t="shared" ref="AN6:AN11" si="28">+AI6</f>
        <v>0.4763199138670407</v>
      </c>
      <c r="AO6" s="588"/>
      <c r="AP6" s="595">
        <f>+('Cuadro Mando Integral Detallado'!AD37+'Cuadro Mando Integral Detallado'!AD123+'Cuadro Mando Integral Detallado'!AD203+'Cuadro Mando Integral Detallado'!AD223)/4</f>
        <v>0</v>
      </c>
      <c r="AQ6" s="819">
        <f t="shared" ref="AQ6:AQ11" si="29">+AP6</f>
        <v>0</v>
      </c>
      <c r="AR6" s="795">
        <f t="shared" ref="AR6:AR11" si="30">+AP6</f>
        <v>0</v>
      </c>
      <c r="AS6" s="795">
        <f t="shared" ref="AS6:AS11" si="31">+AP6</f>
        <v>0</v>
      </c>
      <c r="AT6" s="795">
        <f t="shared" ref="AT6:AT11" si="32">+AP6</f>
        <v>0</v>
      </c>
      <c r="AU6" s="580">
        <f t="shared" ref="AU6:AU11" si="33">+AP6</f>
        <v>0</v>
      </c>
      <c r="AV6" s="830">
        <f>+('Cuadro Mando Integral Detallado'!AF37+'Cuadro Mando Integral Detallado'!AF123+'Cuadro Mando Integral Detallado'!AF203+'Cuadro Mando Integral Detallado'!AF223)/4</f>
        <v>0.4763199138670407</v>
      </c>
      <c r="AW6" s="819">
        <f>+AV6</f>
        <v>0.4763199138670407</v>
      </c>
      <c r="AX6" s="808">
        <f t="shared" ref="AX6:AX11" si="34">+AV6</f>
        <v>0.4763199138670407</v>
      </c>
      <c r="AY6" s="808">
        <f t="shared" ref="AY6:AY11" si="35">+AV6</f>
        <v>0.4763199138670407</v>
      </c>
      <c r="AZ6" s="808">
        <f t="shared" ref="AZ6:AZ11" si="36">+AV6</f>
        <v>0.4763199138670407</v>
      </c>
      <c r="BA6" s="590">
        <f t="shared" ref="BA6:BA11" si="37">+AV6</f>
        <v>0.4763199138670407</v>
      </c>
    </row>
    <row r="7" spans="1:53" ht="54" x14ac:dyDescent="0.25">
      <c r="A7" s="292" t="s">
        <v>887</v>
      </c>
      <c r="B7" s="290"/>
      <c r="C7" s="827">
        <f>+('Cuadro Mando Integral Detallado'!I65+'Cuadro Mando Integral Detallado'!I155)/2</f>
        <v>1.0255122070665927</v>
      </c>
      <c r="D7" s="820">
        <f>+C7</f>
        <v>1.0255122070665927</v>
      </c>
      <c r="E7" s="794">
        <f t="shared" si="1"/>
        <v>1.0255122070665927</v>
      </c>
      <c r="F7" s="794">
        <f t="shared" si="2"/>
        <v>1.0255122070665927</v>
      </c>
      <c r="G7" s="794">
        <f t="shared" si="3"/>
        <v>1.0255122070665927</v>
      </c>
      <c r="H7" s="581">
        <f t="shared" si="4"/>
        <v>1.0255122070665927</v>
      </c>
      <c r="I7" s="827">
        <f>+('Cuadro Mando Integral Detallado'!K65+'Cuadro Mando Integral Detallado'!K155)/2</f>
        <v>0.2046651538754147</v>
      </c>
      <c r="J7" s="809">
        <f t="shared" si="5"/>
        <v>0.2046651538754147</v>
      </c>
      <c r="K7" s="806">
        <f t="shared" si="6"/>
        <v>0.2046651538754147</v>
      </c>
      <c r="L7" s="806">
        <f t="shared" si="7"/>
        <v>0.2046651538754147</v>
      </c>
      <c r="M7" s="806">
        <f t="shared" si="8"/>
        <v>0.2046651538754147</v>
      </c>
      <c r="N7" s="591">
        <f t="shared" si="9"/>
        <v>0.2046651538754147</v>
      </c>
      <c r="O7" s="163"/>
      <c r="P7" s="827">
        <f>+('Cuadro Mando Integral Detallado'!P65+'Cuadro Mando Integral Detallado'!P155)/2</f>
        <v>0.83762808502302444</v>
      </c>
      <c r="Q7" s="820">
        <f>+P7</f>
        <v>0.83762808502302444</v>
      </c>
      <c r="R7" s="794">
        <f t="shared" si="11"/>
        <v>0.83762808502302444</v>
      </c>
      <c r="S7" s="794">
        <f t="shared" si="12"/>
        <v>0.83762808502302444</v>
      </c>
      <c r="T7" s="794">
        <f t="shared" si="13"/>
        <v>0.83762808502302444</v>
      </c>
      <c r="U7" s="581">
        <f t="shared" si="14"/>
        <v>0.83762808502302444</v>
      </c>
      <c r="V7" s="824">
        <f>+('Cuadro Mando Integral Detallado'!R65+'Cuadro Mando Integral Detallado'!R155)/2</f>
        <v>0.4187915819031201</v>
      </c>
      <c r="W7" s="809">
        <f t="shared" si="15"/>
        <v>0.4187915819031201</v>
      </c>
      <c r="X7" s="806">
        <f t="shared" si="16"/>
        <v>0.4187915819031201</v>
      </c>
      <c r="Y7" s="806">
        <f t="shared" si="17"/>
        <v>0.4187915819031201</v>
      </c>
      <c r="Z7" s="806">
        <f t="shared" si="18"/>
        <v>0.4187915819031201</v>
      </c>
      <c r="AA7" s="591">
        <f t="shared" si="19"/>
        <v>0.4187915819031201</v>
      </c>
      <c r="AB7" s="588"/>
      <c r="AC7" s="827">
        <f>+('Cuadro Mando Integral Detallado'!W65+'Cuadro Mando Integral Detallado'!W155)/2</f>
        <v>0</v>
      </c>
      <c r="AD7" s="820">
        <f t="shared" si="20"/>
        <v>0</v>
      </c>
      <c r="AE7" s="794">
        <f t="shared" si="21"/>
        <v>0</v>
      </c>
      <c r="AF7" s="794">
        <f t="shared" si="22"/>
        <v>0</v>
      </c>
      <c r="AG7" s="794">
        <f>+AC7</f>
        <v>0</v>
      </c>
      <c r="AH7" s="581">
        <f t="shared" si="23"/>
        <v>0</v>
      </c>
      <c r="AI7" s="824">
        <f>+('Cuadro Mando Integral Detallado'!Y65+'Cuadro Mando Integral Detallado'!Y155)/2</f>
        <v>0.42053760909880855</v>
      </c>
      <c r="AJ7" s="820">
        <f t="shared" si="24"/>
        <v>0.42053760909880855</v>
      </c>
      <c r="AK7" s="806">
        <f t="shared" si="25"/>
        <v>0.42053760909880855</v>
      </c>
      <c r="AL7" s="806">
        <f t="shared" si="26"/>
        <v>0.42053760909880855</v>
      </c>
      <c r="AM7" s="806">
        <f t="shared" si="27"/>
        <v>0.42053760909880855</v>
      </c>
      <c r="AN7" s="591">
        <f t="shared" si="28"/>
        <v>0.42053760909880855</v>
      </c>
      <c r="AO7" s="588"/>
      <c r="AP7" s="596">
        <f>+('Cuadro Mando Integral Detallado'!AD65+'Cuadro Mando Integral Detallado'!AD155)/2</f>
        <v>0</v>
      </c>
      <c r="AQ7" s="820">
        <f t="shared" si="29"/>
        <v>0</v>
      </c>
      <c r="AR7" s="794">
        <f t="shared" si="30"/>
        <v>0</v>
      </c>
      <c r="AS7" s="794">
        <f t="shared" si="31"/>
        <v>0</v>
      </c>
      <c r="AT7" s="794">
        <f t="shared" si="32"/>
        <v>0</v>
      </c>
      <c r="AU7" s="581">
        <f t="shared" si="33"/>
        <v>0</v>
      </c>
      <c r="AV7" s="824">
        <f>+('Cuadro Mando Integral Detallado'!AF65+'Cuadro Mando Integral Detallado'!AF155)/2</f>
        <v>0.4187915819031201</v>
      </c>
      <c r="AW7" s="820">
        <f>+AV7</f>
        <v>0.4187915819031201</v>
      </c>
      <c r="AX7" s="806">
        <f t="shared" si="34"/>
        <v>0.4187915819031201</v>
      </c>
      <c r="AY7" s="806">
        <f t="shared" si="35"/>
        <v>0.4187915819031201</v>
      </c>
      <c r="AZ7" s="806">
        <f t="shared" si="36"/>
        <v>0.4187915819031201</v>
      </c>
      <c r="BA7" s="591">
        <f t="shared" si="37"/>
        <v>0.4187915819031201</v>
      </c>
    </row>
    <row r="8" spans="1:53" ht="54" x14ac:dyDescent="0.25">
      <c r="A8" s="292" t="s">
        <v>888</v>
      </c>
      <c r="B8" s="290"/>
      <c r="C8" s="827">
        <f>+('Cuadro Mando Integral Detallado'!I106+'Cuadro Mando Integral Detallado'!I146+'Cuadro Mando Integral Detallado'!I206)/3</f>
        <v>0.83255838204496735</v>
      </c>
      <c r="D8" s="820">
        <f>+C8</f>
        <v>0.83255838204496735</v>
      </c>
      <c r="E8" s="794">
        <f t="shared" si="1"/>
        <v>0.83255838204496735</v>
      </c>
      <c r="F8" s="794">
        <f t="shared" si="2"/>
        <v>0.83255838204496735</v>
      </c>
      <c r="G8" s="794">
        <f t="shared" si="3"/>
        <v>0.83255838204496735</v>
      </c>
      <c r="H8" s="581">
        <f t="shared" si="4"/>
        <v>0.83255838204496735</v>
      </c>
      <c r="I8" s="827">
        <f>+('Cuadro Mando Integral Detallado'!K106+'Cuadro Mando Integral Detallado'!K146+'Cuadro Mando Integral Detallado'!K206)/3</f>
        <v>0.3317687878320244</v>
      </c>
      <c r="J8" s="809">
        <f t="shared" si="5"/>
        <v>0.3317687878320244</v>
      </c>
      <c r="K8" s="806">
        <f t="shared" si="6"/>
        <v>0.3317687878320244</v>
      </c>
      <c r="L8" s="806">
        <f t="shared" si="7"/>
        <v>0.3317687878320244</v>
      </c>
      <c r="M8" s="806">
        <f t="shared" si="8"/>
        <v>0.3317687878320244</v>
      </c>
      <c r="N8" s="591">
        <f t="shared" si="9"/>
        <v>0.3317687878320244</v>
      </c>
      <c r="O8" s="163"/>
      <c r="P8" s="827">
        <f>+('Cuadro Mando Integral Detallado'!P106+'Cuadro Mando Integral Detallado'!P146+'Cuadro Mando Integral Detallado'!P206)/3</f>
        <v>1.6827337009254002</v>
      </c>
      <c r="Q8" s="820">
        <f>+P8</f>
        <v>1.6827337009254002</v>
      </c>
      <c r="R8" s="794">
        <f t="shared" si="11"/>
        <v>1.6827337009254002</v>
      </c>
      <c r="S8" s="794">
        <f t="shared" si="12"/>
        <v>1.6827337009254002</v>
      </c>
      <c r="T8" s="794">
        <f t="shared" si="13"/>
        <v>1.6827337009254002</v>
      </c>
      <c r="U8" s="581">
        <f t="shared" si="14"/>
        <v>1.6827337009254002</v>
      </c>
      <c r="V8" s="824">
        <f>+('Cuadro Mando Integral Detallado'!R106+'Cuadro Mando Integral Detallado'!R146+'Cuadro Mando Integral Detallado'!R206)/3</f>
        <v>0.91761679138940633</v>
      </c>
      <c r="W8" s="809">
        <f t="shared" si="15"/>
        <v>0.91761679138940633</v>
      </c>
      <c r="X8" s="806">
        <f t="shared" si="16"/>
        <v>0.91761679138940633</v>
      </c>
      <c r="Y8" s="806">
        <f t="shared" si="17"/>
        <v>0.91761679138940633</v>
      </c>
      <c r="Z8" s="806">
        <f t="shared" si="18"/>
        <v>0.91761679138940633</v>
      </c>
      <c r="AA8" s="591">
        <f t="shared" si="19"/>
        <v>0.91761679138940633</v>
      </c>
      <c r="AB8" s="588"/>
      <c r="AC8" s="827">
        <f>+('Cuadro Mando Integral Detallado'!W106+'Cuadro Mando Integral Detallado'!W146+'Cuadro Mando Integral Detallado'!W206)/3</f>
        <v>0</v>
      </c>
      <c r="AD8" s="820">
        <f t="shared" si="20"/>
        <v>0</v>
      </c>
      <c r="AE8" s="794">
        <f t="shared" si="21"/>
        <v>0</v>
      </c>
      <c r="AF8" s="794">
        <f t="shared" si="22"/>
        <v>0</v>
      </c>
      <c r="AG8" s="794">
        <f>+AC8</f>
        <v>0</v>
      </c>
      <c r="AH8" s="581">
        <f t="shared" si="23"/>
        <v>0</v>
      </c>
      <c r="AI8" s="824">
        <f>+('Cuadro Mando Integral Detallado'!Y106+'Cuadro Mando Integral Detallado'!Y146+'Cuadro Mando Integral Detallado'!Y206)/3</f>
        <v>0.91761679138940633</v>
      </c>
      <c r="AJ8" s="820">
        <f t="shared" si="24"/>
        <v>0.91761679138940633</v>
      </c>
      <c r="AK8" s="806">
        <f t="shared" si="25"/>
        <v>0.91761679138940633</v>
      </c>
      <c r="AL8" s="806">
        <f t="shared" si="26"/>
        <v>0.91761679138940633</v>
      </c>
      <c r="AM8" s="806">
        <f t="shared" si="27"/>
        <v>0.91761679138940633</v>
      </c>
      <c r="AN8" s="591">
        <f t="shared" si="28"/>
        <v>0.91761679138940633</v>
      </c>
      <c r="AO8" s="588"/>
      <c r="AP8" s="596">
        <f>+('Cuadro Mando Integral Detallado'!AD106+'Cuadro Mando Integral Detallado'!AD146+'Cuadro Mando Integral Detallado'!AD206)/3</f>
        <v>0</v>
      </c>
      <c r="AQ8" s="820">
        <f t="shared" si="29"/>
        <v>0</v>
      </c>
      <c r="AR8" s="794">
        <f t="shared" si="30"/>
        <v>0</v>
      </c>
      <c r="AS8" s="794">
        <f t="shared" si="31"/>
        <v>0</v>
      </c>
      <c r="AT8" s="794">
        <f t="shared" si="32"/>
        <v>0</v>
      </c>
      <c r="AU8" s="581">
        <f t="shared" si="33"/>
        <v>0</v>
      </c>
      <c r="AV8" s="824">
        <f>+('Cuadro Mando Integral Detallado'!AF106+'Cuadro Mando Integral Detallado'!AF146+'Cuadro Mando Integral Detallado'!AF206)/3</f>
        <v>0.91761679138940633</v>
      </c>
      <c r="AW8" s="820">
        <f>+AV8</f>
        <v>0.91761679138940633</v>
      </c>
      <c r="AX8" s="806">
        <f t="shared" si="34"/>
        <v>0.91761679138940633</v>
      </c>
      <c r="AY8" s="806">
        <f t="shared" si="35"/>
        <v>0.91761679138940633</v>
      </c>
      <c r="AZ8" s="806">
        <f t="shared" si="36"/>
        <v>0.91761679138940633</v>
      </c>
      <c r="BA8" s="591">
        <f t="shared" si="37"/>
        <v>0.91761679138940633</v>
      </c>
    </row>
    <row r="9" spans="1:53" ht="36" x14ac:dyDescent="0.25">
      <c r="A9" s="292" t="s">
        <v>889</v>
      </c>
      <c r="B9" s="290"/>
      <c r="C9" s="827">
        <f>+('Cuadro Mando Integral Detallado'!I77+'Cuadro Mando Integral Detallado'!I210)/2</f>
        <v>0.54527680503415143</v>
      </c>
      <c r="D9" s="820">
        <f>+C9</f>
        <v>0.54527680503415143</v>
      </c>
      <c r="E9" s="794">
        <f t="shared" si="1"/>
        <v>0.54527680503415143</v>
      </c>
      <c r="F9" s="794">
        <f t="shared" si="2"/>
        <v>0.54527680503415143</v>
      </c>
      <c r="G9" s="794">
        <f t="shared" si="3"/>
        <v>0.54527680503415143</v>
      </c>
      <c r="H9" s="581">
        <f t="shared" si="4"/>
        <v>0.54527680503415143</v>
      </c>
      <c r="I9" s="827">
        <f>+('Cuadro Mando Integral Detallado'!K77+'Cuadro Mando Integral Detallado'!K210)/2</f>
        <v>4.7240379666093082E-2</v>
      </c>
      <c r="J9" s="809">
        <f t="shared" si="5"/>
        <v>4.7240379666093082E-2</v>
      </c>
      <c r="K9" s="806">
        <f t="shared" si="6"/>
        <v>4.7240379666093082E-2</v>
      </c>
      <c r="L9" s="806">
        <f t="shared" si="7"/>
        <v>4.7240379666093082E-2</v>
      </c>
      <c r="M9" s="806">
        <f t="shared" si="8"/>
        <v>4.7240379666093082E-2</v>
      </c>
      <c r="N9" s="591">
        <f t="shared" si="9"/>
        <v>4.7240379666093082E-2</v>
      </c>
      <c r="O9" s="163"/>
      <c r="P9" s="827">
        <f>+('Cuadro Mando Integral Detallado'!P77+'Cuadro Mando Integral Detallado'!P210)/2</f>
        <v>0.60679602816223976</v>
      </c>
      <c r="Q9" s="820">
        <f>+P9</f>
        <v>0.60679602816223976</v>
      </c>
      <c r="R9" s="794">
        <f t="shared" si="11"/>
        <v>0.60679602816223976</v>
      </c>
      <c r="S9" s="794">
        <f t="shared" si="12"/>
        <v>0.60679602816223976</v>
      </c>
      <c r="T9" s="794">
        <f t="shared" si="13"/>
        <v>0.60679602816223976</v>
      </c>
      <c r="U9" s="581">
        <f t="shared" si="14"/>
        <v>0.60679602816223976</v>
      </c>
      <c r="V9" s="824">
        <f>+('Cuadro Mando Integral Detallado'!R77+'Cuadro Mando Integral Detallado'!R210)/2</f>
        <v>0.16687263109087536</v>
      </c>
      <c r="W9" s="809">
        <f t="shared" si="15"/>
        <v>0.16687263109087536</v>
      </c>
      <c r="X9" s="806">
        <f t="shared" si="16"/>
        <v>0.16687263109087536</v>
      </c>
      <c r="Y9" s="806">
        <f t="shared" si="17"/>
        <v>0.16687263109087536</v>
      </c>
      <c r="Z9" s="806">
        <f t="shared" si="18"/>
        <v>0.16687263109087536</v>
      </c>
      <c r="AA9" s="591">
        <f t="shared" si="19"/>
        <v>0.16687263109087536</v>
      </c>
      <c r="AB9" s="588"/>
      <c r="AC9" s="827">
        <f>+('Cuadro Mando Integral Detallado'!W77+'Cuadro Mando Integral Detallado'!W210)/2</f>
        <v>0</v>
      </c>
      <c r="AD9" s="820">
        <f t="shared" si="20"/>
        <v>0</v>
      </c>
      <c r="AE9" s="794">
        <f t="shared" si="21"/>
        <v>0</v>
      </c>
      <c r="AF9" s="794">
        <f t="shared" si="22"/>
        <v>0</v>
      </c>
      <c r="AG9" s="794">
        <f>+AC9</f>
        <v>0</v>
      </c>
      <c r="AH9" s="581">
        <f t="shared" si="23"/>
        <v>0</v>
      </c>
      <c r="AI9" s="824">
        <f>+('Cuadro Mando Integral Detallado'!Y77+'Cuadro Mando Integral Detallado'!Y210)/2</f>
        <v>0.16687263109087536</v>
      </c>
      <c r="AJ9" s="820">
        <f t="shared" si="24"/>
        <v>0.16687263109087536</v>
      </c>
      <c r="AK9" s="806">
        <f t="shared" si="25"/>
        <v>0.16687263109087536</v>
      </c>
      <c r="AL9" s="806">
        <f t="shared" si="26"/>
        <v>0.16687263109087536</v>
      </c>
      <c r="AM9" s="806">
        <f t="shared" si="27"/>
        <v>0.16687263109087536</v>
      </c>
      <c r="AN9" s="591">
        <f t="shared" si="28"/>
        <v>0.16687263109087536</v>
      </c>
      <c r="AO9" s="588"/>
      <c r="AP9" s="596">
        <f>+('Cuadro Mando Integral Detallado'!AD77+'Cuadro Mando Integral Detallado'!AD210)/2</f>
        <v>0</v>
      </c>
      <c r="AQ9" s="820">
        <f t="shared" si="29"/>
        <v>0</v>
      </c>
      <c r="AR9" s="794">
        <f t="shared" si="30"/>
        <v>0</v>
      </c>
      <c r="AS9" s="794">
        <f t="shared" si="31"/>
        <v>0</v>
      </c>
      <c r="AT9" s="794">
        <f t="shared" si="32"/>
        <v>0</v>
      </c>
      <c r="AU9" s="581">
        <f t="shared" si="33"/>
        <v>0</v>
      </c>
      <c r="AV9" s="824">
        <f>+('Cuadro Mando Integral Detallado'!AF77+'Cuadro Mando Integral Detallado'!AF210)/2</f>
        <v>0.1668726310908753</v>
      </c>
      <c r="AW9" s="820">
        <f t="shared" ref="AW9:AW11" si="38">+AV9</f>
        <v>0.1668726310908753</v>
      </c>
      <c r="AX9" s="806">
        <f t="shared" si="34"/>
        <v>0.1668726310908753</v>
      </c>
      <c r="AY9" s="806">
        <f t="shared" si="35"/>
        <v>0.1668726310908753</v>
      </c>
      <c r="AZ9" s="806">
        <f t="shared" si="36"/>
        <v>0.1668726310908753</v>
      </c>
      <c r="BA9" s="591">
        <f t="shared" si="37"/>
        <v>0.1668726310908753</v>
      </c>
    </row>
    <row r="10" spans="1:53" ht="36" x14ac:dyDescent="0.25">
      <c r="A10" s="292" t="s">
        <v>146</v>
      </c>
      <c r="B10" s="290"/>
      <c r="C10" s="828">
        <f>+('Cuadro Mando Integral Detallado'!I98+'Cuadro Mando Integral Detallado'!I167+'Cuadro Mando Integral Detallado'!I218)/3</f>
        <v>0.58331219855642269</v>
      </c>
      <c r="D10" s="820">
        <f>+C10</f>
        <v>0.58331219855642269</v>
      </c>
      <c r="E10" s="794">
        <f t="shared" si="1"/>
        <v>0.58331219855642269</v>
      </c>
      <c r="F10" s="794">
        <f t="shared" si="2"/>
        <v>0.58331219855642269</v>
      </c>
      <c r="G10" s="794">
        <f t="shared" si="3"/>
        <v>0.58331219855642269</v>
      </c>
      <c r="H10" s="581">
        <f t="shared" si="4"/>
        <v>0.58331219855642269</v>
      </c>
      <c r="I10" s="827">
        <f>+('Cuadro Mando Integral Detallado'!K98+'Cuadro Mando Integral Detallado'!K167+'Cuadro Mando Integral Detallado'!K218)/3</f>
        <v>0.14664866247260991</v>
      </c>
      <c r="J10" s="809">
        <f>+I10</f>
        <v>0.14664866247260991</v>
      </c>
      <c r="K10" s="806">
        <f t="shared" si="6"/>
        <v>0.14664866247260991</v>
      </c>
      <c r="L10" s="806">
        <f t="shared" si="7"/>
        <v>0.14664866247260991</v>
      </c>
      <c r="M10" s="806">
        <f t="shared" si="8"/>
        <v>0.14664866247260991</v>
      </c>
      <c r="N10" s="591">
        <f t="shared" si="9"/>
        <v>0.14664866247260991</v>
      </c>
      <c r="O10" s="163"/>
      <c r="P10" s="827">
        <f>+('Cuadro Mando Integral Detallado'!P98+'Cuadro Mando Integral Detallado'!P167+'Cuadro Mando Integral Detallado'!P218)/3</f>
        <v>0.68673874478600716</v>
      </c>
      <c r="Q10" s="820">
        <f t="shared" si="10"/>
        <v>0.68673874478600716</v>
      </c>
      <c r="R10" s="794">
        <f t="shared" si="11"/>
        <v>0.68673874478600716</v>
      </c>
      <c r="S10" s="794">
        <f t="shared" si="12"/>
        <v>0.68673874478600716</v>
      </c>
      <c r="T10" s="794">
        <f t="shared" si="13"/>
        <v>0.68673874478600716</v>
      </c>
      <c r="U10" s="581">
        <f t="shared" si="14"/>
        <v>0.68673874478600716</v>
      </c>
      <c r="V10" s="824">
        <f>+('Cuadro Mando Integral Detallado'!R98+'Cuadro Mando Integral Detallado'!R167+'Cuadro Mando Integral Detallado'!R218)/3</f>
        <v>0.30866502206338919</v>
      </c>
      <c r="W10" s="809">
        <f>+V10</f>
        <v>0.30866502206338919</v>
      </c>
      <c r="X10" s="806">
        <f t="shared" si="16"/>
        <v>0.30866502206338919</v>
      </c>
      <c r="Y10" s="806">
        <f t="shared" si="17"/>
        <v>0.30866502206338919</v>
      </c>
      <c r="Z10" s="806">
        <f t="shared" si="18"/>
        <v>0.30866502206338919</v>
      </c>
      <c r="AA10" s="591">
        <f t="shared" si="19"/>
        <v>0.30866502206338919</v>
      </c>
      <c r="AB10" s="588"/>
      <c r="AC10" s="827">
        <f ca="1">+('Cuadro Mando Integral Detallado'!W98+'Cuadro Mando Integral Detallado'!W167+'Cuadro Mando Integral Detallado'!W218)/3</f>
        <v>0</v>
      </c>
      <c r="AD10" s="820">
        <f t="shared" ca="1" si="20"/>
        <v>0</v>
      </c>
      <c r="AE10" s="794">
        <f t="shared" ca="1" si="21"/>
        <v>0</v>
      </c>
      <c r="AF10" s="794">
        <f t="shared" ca="1" si="22"/>
        <v>0</v>
      </c>
      <c r="AG10" s="794">
        <f ca="1">+AC10</f>
        <v>0</v>
      </c>
      <c r="AH10" s="581">
        <f t="shared" ca="1" si="23"/>
        <v>0</v>
      </c>
      <c r="AI10" s="824">
        <f>+('Cuadro Mando Integral Detallado'!Y98+'Cuadro Mando Integral Detallado'!Y167+'Cuadro Mando Integral Detallado'!Y218)/3</f>
        <v>0.30866502206338919</v>
      </c>
      <c r="AJ10" s="820">
        <f t="shared" si="24"/>
        <v>0.30866502206338919</v>
      </c>
      <c r="AK10" s="806">
        <f t="shared" si="25"/>
        <v>0.30866502206338919</v>
      </c>
      <c r="AL10" s="806">
        <f t="shared" si="26"/>
        <v>0.30866502206338919</v>
      </c>
      <c r="AM10" s="806">
        <f t="shared" si="27"/>
        <v>0.30866502206338919</v>
      </c>
      <c r="AN10" s="591">
        <f t="shared" si="28"/>
        <v>0.30866502206338919</v>
      </c>
      <c r="AO10" s="588"/>
      <c r="AP10" s="596">
        <f ca="1">+('Cuadro Mando Integral Detallado'!AD98+'Cuadro Mando Integral Detallado'!AD167+'Cuadro Mando Integral Detallado'!AD218)/3</f>
        <v>0</v>
      </c>
      <c r="AQ10" s="820">
        <f t="shared" ca="1" si="29"/>
        <v>0</v>
      </c>
      <c r="AR10" s="794">
        <f t="shared" ca="1" si="30"/>
        <v>0</v>
      </c>
      <c r="AS10" s="794">
        <f t="shared" ca="1" si="31"/>
        <v>0</v>
      </c>
      <c r="AT10" s="794">
        <f t="shared" ca="1" si="32"/>
        <v>0</v>
      </c>
      <c r="AU10" s="581">
        <f t="shared" ca="1" si="33"/>
        <v>0</v>
      </c>
      <c r="AV10" s="824">
        <f>+('Cuadro Mando Integral Detallado'!AF98+'Cuadro Mando Integral Detallado'!AF167+'Cuadro Mando Integral Detallado'!AF218)/3</f>
        <v>0.30866502206338919</v>
      </c>
      <c r="AW10" s="820">
        <f t="shared" si="38"/>
        <v>0.30866502206338919</v>
      </c>
      <c r="AX10" s="806">
        <f t="shared" si="34"/>
        <v>0.30866502206338919</v>
      </c>
      <c r="AY10" s="806">
        <f t="shared" si="35"/>
        <v>0.30866502206338919</v>
      </c>
      <c r="AZ10" s="806">
        <f t="shared" si="36"/>
        <v>0.30866502206338919</v>
      </c>
      <c r="BA10" s="591">
        <f t="shared" si="37"/>
        <v>0.30866502206338919</v>
      </c>
    </row>
    <row r="11" spans="1:53" ht="36.75" thickBot="1" x14ac:dyDescent="0.3">
      <c r="A11" s="293" t="s">
        <v>890</v>
      </c>
      <c r="B11" s="290"/>
      <c r="C11" s="829">
        <f>+'Cuadro Mando Integral Detallado'!I177</f>
        <v>1</v>
      </c>
      <c r="D11" s="821">
        <f>+C11</f>
        <v>1</v>
      </c>
      <c r="E11" s="796">
        <f t="shared" si="1"/>
        <v>1</v>
      </c>
      <c r="F11" s="796">
        <f t="shared" si="2"/>
        <v>1</v>
      </c>
      <c r="G11" s="796">
        <f t="shared" si="3"/>
        <v>1</v>
      </c>
      <c r="H11" s="582">
        <f t="shared" si="4"/>
        <v>1</v>
      </c>
      <c r="I11" s="829">
        <f>+'Cuadro Mando Integral Detallado'!K177</f>
        <v>0.25</v>
      </c>
      <c r="J11" s="810">
        <f t="shared" si="5"/>
        <v>0.25</v>
      </c>
      <c r="K11" s="811">
        <f t="shared" si="6"/>
        <v>0.25</v>
      </c>
      <c r="L11" s="811">
        <f t="shared" si="7"/>
        <v>0.25</v>
      </c>
      <c r="M11" s="811">
        <f t="shared" si="8"/>
        <v>0.25</v>
      </c>
      <c r="N11" s="592">
        <f t="shared" si="9"/>
        <v>0.25</v>
      </c>
      <c r="O11" s="163"/>
      <c r="P11" s="829">
        <f>+'Cuadro Mando Integral Detallado'!P177</f>
        <v>1</v>
      </c>
      <c r="Q11" s="821">
        <f t="shared" si="10"/>
        <v>1</v>
      </c>
      <c r="R11" s="796">
        <f t="shared" si="11"/>
        <v>1</v>
      </c>
      <c r="S11" s="796">
        <f t="shared" si="12"/>
        <v>1</v>
      </c>
      <c r="T11" s="796">
        <f t="shared" si="13"/>
        <v>1</v>
      </c>
      <c r="U11" s="582">
        <f t="shared" si="14"/>
        <v>1</v>
      </c>
      <c r="V11" s="825">
        <f>+'Cuadro Mando Integral Detallado'!R177</f>
        <v>0.5</v>
      </c>
      <c r="W11" s="810">
        <f>+V11</f>
        <v>0.5</v>
      </c>
      <c r="X11" s="811">
        <f t="shared" si="16"/>
        <v>0.5</v>
      </c>
      <c r="Y11" s="811">
        <f t="shared" si="17"/>
        <v>0.5</v>
      </c>
      <c r="Z11" s="811">
        <f t="shared" si="18"/>
        <v>0.5</v>
      </c>
      <c r="AA11" s="592">
        <f t="shared" si="19"/>
        <v>0.5</v>
      </c>
      <c r="AB11" s="588"/>
      <c r="AC11" s="829">
        <f>+'Cuadro Mando Integral Detallado'!W177</f>
        <v>0</v>
      </c>
      <c r="AD11" s="821">
        <f t="shared" si="20"/>
        <v>0</v>
      </c>
      <c r="AE11" s="796">
        <f t="shared" si="21"/>
        <v>0</v>
      </c>
      <c r="AF11" s="796">
        <f t="shared" si="22"/>
        <v>0</v>
      </c>
      <c r="AG11" s="796">
        <f>+AB11</f>
        <v>0</v>
      </c>
      <c r="AH11" s="582">
        <f t="shared" si="23"/>
        <v>0</v>
      </c>
      <c r="AI11" s="825">
        <f>+'Cuadro Mando Integral Detallado'!Y177</f>
        <v>0.5</v>
      </c>
      <c r="AJ11" s="821">
        <f t="shared" si="24"/>
        <v>0.5</v>
      </c>
      <c r="AK11" s="811">
        <f t="shared" si="25"/>
        <v>0.5</v>
      </c>
      <c r="AL11" s="811">
        <f t="shared" si="26"/>
        <v>0.5</v>
      </c>
      <c r="AM11" s="811">
        <f t="shared" si="27"/>
        <v>0.5</v>
      </c>
      <c r="AN11" s="592">
        <f t="shared" si="28"/>
        <v>0.5</v>
      </c>
      <c r="AO11" s="588"/>
      <c r="AP11" s="597">
        <f>+'Cuadro Mando Integral Detallado'!AD177</f>
        <v>0</v>
      </c>
      <c r="AQ11" s="821">
        <f t="shared" si="29"/>
        <v>0</v>
      </c>
      <c r="AR11" s="796">
        <f t="shared" si="30"/>
        <v>0</v>
      </c>
      <c r="AS11" s="796">
        <f t="shared" si="31"/>
        <v>0</v>
      </c>
      <c r="AT11" s="796">
        <f t="shared" si="32"/>
        <v>0</v>
      </c>
      <c r="AU11" s="582">
        <f t="shared" si="33"/>
        <v>0</v>
      </c>
      <c r="AV11" s="825">
        <f>+'Cuadro Mando Integral Detallado'!AF177</f>
        <v>0.5</v>
      </c>
      <c r="AW11" s="821">
        <f t="shared" si="38"/>
        <v>0.5</v>
      </c>
      <c r="AX11" s="811">
        <f t="shared" si="34"/>
        <v>0.5</v>
      </c>
      <c r="AY11" s="811">
        <f t="shared" si="35"/>
        <v>0.5</v>
      </c>
      <c r="AZ11" s="811">
        <f t="shared" si="36"/>
        <v>0.5</v>
      </c>
      <c r="BA11" s="592">
        <f t="shared" si="37"/>
        <v>0.5</v>
      </c>
    </row>
  </sheetData>
  <mergeCells count="18">
    <mergeCell ref="AP5:AU5"/>
    <mergeCell ref="AP1:BA3"/>
    <mergeCell ref="AV5:BA5"/>
    <mergeCell ref="C5:H5"/>
    <mergeCell ref="I5:N5"/>
    <mergeCell ref="P5:U5"/>
    <mergeCell ref="V5:AA5"/>
    <mergeCell ref="AC5:AH5"/>
    <mergeCell ref="B2:H2"/>
    <mergeCell ref="B3:H3"/>
    <mergeCell ref="I3:N3"/>
    <mergeCell ref="O3:AH3"/>
    <mergeCell ref="A1:A3"/>
    <mergeCell ref="I1:AO1"/>
    <mergeCell ref="I2:AO2"/>
    <mergeCell ref="AI5:AN5"/>
    <mergeCell ref="B1:H1"/>
    <mergeCell ref="AJ3:AO3"/>
  </mergeCells>
  <conditionalFormatting sqref="D6">
    <cfRule type="cellIs" dxfId="1207" priority="271" stopIfTrue="1" operator="between">
      <formula>0</formula>
      <formula>0.5</formula>
    </cfRule>
  </conditionalFormatting>
  <conditionalFormatting sqref="E6">
    <cfRule type="cellIs" dxfId="1206" priority="270" operator="between">
      <formula>0.51</formula>
      <formula>0.75</formula>
    </cfRule>
  </conditionalFormatting>
  <conditionalFormatting sqref="F6">
    <cfRule type="cellIs" dxfId="1205" priority="269" operator="between">
      <formula>0.76</formula>
      <formula>0.95</formula>
    </cfRule>
  </conditionalFormatting>
  <conditionalFormatting sqref="G6">
    <cfRule type="cellIs" dxfId="1204" priority="268" operator="between">
      <formula>0.95</formula>
      <formula>1</formula>
    </cfRule>
  </conditionalFormatting>
  <conditionalFormatting sqref="H6">
    <cfRule type="cellIs" dxfId="1203" priority="267" operator="greaterThan">
      <formula>1</formula>
    </cfRule>
  </conditionalFormatting>
  <conditionalFormatting sqref="D7">
    <cfRule type="cellIs" dxfId="1202" priority="266" stopIfTrue="1" operator="between">
      <formula>0</formula>
      <formula>0.5</formula>
    </cfRule>
  </conditionalFormatting>
  <conditionalFormatting sqref="E7">
    <cfRule type="cellIs" dxfId="1201" priority="265" operator="between">
      <formula>0.51</formula>
      <formula>0.75</formula>
    </cfRule>
  </conditionalFormatting>
  <conditionalFormatting sqref="F7">
    <cfRule type="cellIs" dxfId="1200" priority="264" operator="between">
      <formula>0.76</formula>
      <formula>0.95</formula>
    </cfRule>
  </conditionalFormatting>
  <conditionalFormatting sqref="G7">
    <cfRule type="cellIs" dxfId="1199" priority="263" operator="between">
      <formula>0.95</formula>
      <formula>1</formula>
    </cfRule>
  </conditionalFormatting>
  <conditionalFormatting sqref="H7">
    <cfRule type="cellIs" dxfId="1198" priority="262" operator="greaterThan">
      <formula>1</formula>
    </cfRule>
  </conditionalFormatting>
  <conditionalFormatting sqref="D8">
    <cfRule type="cellIs" dxfId="1197" priority="261" stopIfTrue="1" operator="between">
      <formula>0</formula>
      <formula>0.5</formula>
    </cfRule>
  </conditionalFormatting>
  <conditionalFormatting sqref="E8">
    <cfRule type="cellIs" dxfId="1196" priority="260" operator="between">
      <formula>0.51</formula>
      <formula>0.75</formula>
    </cfRule>
  </conditionalFormatting>
  <conditionalFormatting sqref="F8">
    <cfRule type="cellIs" dxfId="1195" priority="259" operator="between">
      <formula>0.76</formula>
      <formula>0.95</formula>
    </cfRule>
  </conditionalFormatting>
  <conditionalFormatting sqref="G8">
    <cfRule type="cellIs" dxfId="1194" priority="258" operator="between">
      <formula>0.95</formula>
      <formula>1</formula>
    </cfRule>
  </conditionalFormatting>
  <conditionalFormatting sqref="H8">
    <cfRule type="cellIs" dxfId="1193" priority="257" operator="greaterThan">
      <formula>1</formula>
    </cfRule>
  </conditionalFormatting>
  <conditionalFormatting sqref="D9">
    <cfRule type="cellIs" dxfId="1192" priority="256" stopIfTrue="1" operator="between">
      <formula>0</formula>
      <formula>0.5</formula>
    </cfRule>
  </conditionalFormatting>
  <conditionalFormatting sqref="E9">
    <cfRule type="cellIs" dxfId="1191" priority="255" operator="between">
      <formula>0.51</formula>
      <formula>0.75</formula>
    </cfRule>
  </conditionalFormatting>
  <conditionalFormatting sqref="F9">
    <cfRule type="cellIs" dxfId="1190" priority="254" operator="between">
      <formula>0.76</formula>
      <formula>0.95</formula>
    </cfRule>
  </conditionalFormatting>
  <conditionalFormatting sqref="G9">
    <cfRule type="cellIs" dxfId="1189" priority="253" operator="between">
      <formula>0.95</formula>
      <formula>1</formula>
    </cfRule>
  </conditionalFormatting>
  <conditionalFormatting sqref="H9">
    <cfRule type="cellIs" dxfId="1188" priority="252" operator="greaterThan">
      <formula>1</formula>
    </cfRule>
  </conditionalFormatting>
  <conditionalFormatting sqref="D10">
    <cfRule type="cellIs" dxfId="1187" priority="251" stopIfTrue="1" operator="between">
      <formula>0</formula>
      <formula>0.5</formula>
    </cfRule>
  </conditionalFormatting>
  <conditionalFormatting sqref="E10">
    <cfRule type="cellIs" dxfId="1186" priority="250" operator="between">
      <formula>0.51</formula>
      <formula>0.75</formula>
    </cfRule>
  </conditionalFormatting>
  <conditionalFormatting sqref="F10">
    <cfRule type="cellIs" dxfId="1185" priority="249" operator="between">
      <formula>0.76</formula>
      <formula>0.95</formula>
    </cfRule>
  </conditionalFormatting>
  <conditionalFormatting sqref="G10">
    <cfRule type="cellIs" dxfId="1184" priority="248" operator="between">
      <formula>0.95</formula>
      <formula>1</formula>
    </cfRule>
  </conditionalFormatting>
  <conditionalFormatting sqref="H10">
    <cfRule type="cellIs" dxfId="1183" priority="247" operator="greaterThan">
      <formula>1</formula>
    </cfRule>
  </conditionalFormatting>
  <conditionalFormatting sqref="D11">
    <cfRule type="cellIs" dxfId="1182" priority="246" stopIfTrue="1" operator="between">
      <formula>0</formula>
      <formula>0.5</formula>
    </cfRule>
  </conditionalFormatting>
  <conditionalFormatting sqref="E11">
    <cfRule type="cellIs" dxfId="1181" priority="245" operator="between">
      <formula>0.51</formula>
      <formula>0.75</formula>
    </cfRule>
  </conditionalFormatting>
  <conditionalFormatting sqref="F11">
    <cfRule type="cellIs" dxfId="1180" priority="244" operator="between">
      <formula>0.76</formula>
      <formula>0.95</formula>
    </cfRule>
  </conditionalFormatting>
  <conditionalFormatting sqref="G11">
    <cfRule type="cellIs" dxfId="1179" priority="243" operator="between">
      <formula>0.95</formula>
      <formula>1</formula>
    </cfRule>
  </conditionalFormatting>
  <conditionalFormatting sqref="H11">
    <cfRule type="cellIs" dxfId="1178" priority="242" operator="greaterThan">
      <formula>1</formula>
    </cfRule>
  </conditionalFormatting>
  <conditionalFormatting sqref="J6">
    <cfRule type="cellIs" dxfId="1177" priority="241" stopIfTrue="1" operator="between">
      <formula>0</formula>
      <formula>0.125</formula>
    </cfRule>
  </conditionalFormatting>
  <conditionalFormatting sqref="K6">
    <cfRule type="cellIs" dxfId="1176" priority="240" operator="between">
      <formula>0.1251</formula>
      <formula>0.19</formula>
    </cfRule>
  </conditionalFormatting>
  <conditionalFormatting sqref="L6">
    <cfRule type="cellIs" dxfId="1175" priority="239" operator="between">
      <formula>0.191</formula>
      <formula>0.24</formula>
    </cfRule>
  </conditionalFormatting>
  <conditionalFormatting sqref="M6">
    <cfRule type="cellIs" dxfId="1174" priority="238" operator="between">
      <formula>0.2401</formula>
      <formula>0.26</formula>
    </cfRule>
  </conditionalFormatting>
  <conditionalFormatting sqref="N6">
    <cfRule type="cellIs" dxfId="1173" priority="237" operator="greaterThan">
      <formula>0.2601</formula>
    </cfRule>
  </conditionalFormatting>
  <conditionalFormatting sqref="J7">
    <cfRule type="cellIs" dxfId="1172" priority="236" stopIfTrue="1" operator="between">
      <formula>0</formula>
      <formula>0.125</formula>
    </cfRule>
  </conditionalFormatting>
  <conditionalFormatting sqref="K7">
    <cfRule type="cellIs" dxfId="1171" priority="235" operator="between">
      <formula>0.1251</formula>
      <formula>0.19</formula>
    </cfRule>
  </conditionalFormatting>
  <conditionalFormatting sqref="L7">
    <cfRule type="cellIs" dxfId="1170" priority="234" operator="between">
      <formula>0.191</formula>
      <formula>0.24</formula>
    </cfRule>
  </conditionalFormatting>
  <conditionalFormatting sqref="M7">
    <cfRule type="cellIs" dxfId="1169" priority="233" operator="between">
      <formula>0.2401</formula>
      <formula>0.26</formula>
    </cfRule>
  </conditionalFormatting>
  <conditionalFormatting sqref="N7">
    <cfRule type="cellIs" dxfId="1168" priority="232" operator="greaterThan">
      <formula>0.2601</formula>
    </cfRule>
  </conditionalFormatting>
  <conditionalFormatting sqref="J8">
    <cfRule type="cellIs" dxfId="1167" priority="231" stopIfTrue="1" operator="between">
      <formula>0</formula>
      <formula>0.125</formula>
    </cfRule>
  </conditionalFormatting>
  <conditionalFormatting sqref="K8">
    <cfRule type="cellIs" dxfId="1166" priority="230" operator="between">
      <formula>0.1251</formula>
      <formula>0.19</formula>
    </cfRule>
  </conditionalFormatting>
  <conditionalFormatting sqref="L8">
    <cfRule type="cellIs" dxfId="1165" priority="229" operator="between">
      <formula>0.191</formula>
      <formula>0.24</formula>
    </cfRule>
  </conditionalFormatting>
  <conditionalFormatting sqref="M8">
    <cfRule type="cellIs" dxfId="1164" priority="228" operator="between">
      <formula>0.2401</formula>
      <formula>0.26</formula>
    </cfRule>
  </conditionalFormatting>
  <conditionalFormatting sqref="N8">
    <cfRule type="cellIs" dxfId="1163" priority="227" operator="greaterThan">
      <formula>0.2601</formula>
    </cfRule>
  </conditionalFormatting>
  <conditionalFormatting sqref="J9">
    <cfRule type="cellIs" dxfId="1162" priority="226" stopIfTrue="1" operator="between">
      <formula>0</formula>
      <formula>0.125</formula>
    </cfRule>
  </conditionalFormatting>
  <conditionalFormatting sqref="K9">
    <cfRule type="cellIs" dxfId="1161" priority="225" operator="between">
      <formula>0.1251</formula>
      <formula>0.19</formula>
    </cfRule>
  </conditionalFormatting>
  <conditionalFormatting sqref="L9">
    <cfRule type="cellIs" dxfId="1160" priority="224" operator="between">
      <formula>0.191</formula>
      <formula>0.24</formula>
    </cfRule>
  </conditionalFormatting>
  <conditionalFormatting sqref="M9">
    <cfRule type="cellIs" dxfId="1159" priority="223" operator="between">
      <formula>0.2401</formula>
      <formula>0.26</formula>
    </cfRule>
  </conditionalFormatting>
  <conditionalFormatting sqref="N9">
    <cfRule type="cellIs" dxfId="1158" priority="222" operator="greaterThan">
      <formula>0.2601</formula>
    </cfRule>
  </conditionalFormatting>
  <conditionalFormatting sqref="J10">
    <cfRule type="cellIs" dxfId="1157" priority="221" stopIfTrue="1" operator="between">
      <formula>0</formula>
      <formula>0.125</formula>
    </cfRule>
  </conditionalFormatting>
  <conditionalFormatting sqref="K10">
    <cfRule type="cellIs" dxfId="1156" priority="220" operator="between">
      <formula>0.1251</formula>
      <formula>0.19</formula>
    </cfRule>
  </conditionalFormatting>
  <conditionalFormatting sqref="L10">
    <cfRule type="cellIs" dxfId="1155" priority="219" operator="between">
      <formula>0.191</formula>
      <formula>0.24</formula>
    </cfRule>
  </conditionalFormatting>
  <conditionalFormatting sqref="M10">
    <cfRule type="cellIs" dxfId="1154" priority="218" operator="between">
      <formula>0.2401</formula>
      <formula>0.26</formula>
    </cfRule>
  </conditionalFormatting>
  <conditionalFormatting sqref="N10">
    <cfRule type="cellIs" dxfId="1153" priority="217" operator="greaterThan">
      <formula>0.2601</formula>
    </cfRule>
  </conditionalFormatting>
  <conditionalFormatting sqref="J11">
    <cfRule type="cellIs" dxfId="1152" priority="216" stopIfTrue="1" operator="between">
      <formula>0</formula>
      <formula>0.125</formula>
    </cfRule>
  </conditionalFormatting>
  <conditionalFormatting sqref="K11">
    <cfRule type="cellIs" dxfId="1151" priority="215" operator="between">
      <formula>0.1251</formula>
      <formula>0.19</formula>
    </cfRule>
  </conditionalFormatting>
  <conditionalFormatting sqref="L11">
    <cfRule type="cellIs" dxfId="1150" priority="214" operator="between">
      <formula>0.191</formula>
      <formula>0.24</formula>
    </cfRule>
  </conditionalFormatting>
  <conditionalFormatting sqref="M11">
    <cfRule type="cellIs" dxfId="1149" priority="213" operator="between">
      <formula>0.2401</formula>
      <formula>0.26</formula>
    </cfRule>
  </conditionalFormatting>
  <conditionalFormatting sqref="N11">
    <cfRule type="cellIs" dxfId="1148" priority="212" operator="greaterThan">
      <formula>0.2601</formula>
    </cfRule>
  </conditionalFormatting>
  <conditionalFormatting sqref="Q6">
    <cfRule type="cellIs" dxfId="1147" priority="181" stopIfTrue="1" operator="between">
      <formula>0</formula>
      <formula>0.5</formula>
    </cfRule>
  </conditionalFormatting>
  <conditionalFormatting sqref="R6">
    <cfRule type="cellIs" dxfId="1146" priority="180" operator="between">
      <formula>0.51</formula>
      <formula>0.75</formula>
    </cfRule>
  </conditionalFormatting>
  <conditionalFormatting sqref="S6">
    <cfRule type="cellIs" dxfId="1145" priority="179" operator="between">
      <formula>0.76</formula>
      <formula>0.95</formula>
    </cfRule>
  </conditionalFormatting>
  <conditionalFormatting sqref="T6">
    <cfRule type="cellIs" dxfId="1144" priority="178" operator="between">
      <formula>0.95</formula>
      <formula>1</formula>
    </cfRule>
  </conditionalFormatting>
  <conditionalFormatting sqref="U6">
    <cfRule type="cellIs" dxfId="1143" priority="177" operator="greaterThan">
      <formula>1</formula>
    </cfRule>
  </conditionalFormatting>
  <conditionalFormatting sqref="Q7">
    <cfRule type="cellIs" dxfId="1142" priority="176" stopIfTrue="1" operator="between">
      <formula>0</formula>
      <formula>0.5</formula>
    </cfRule>
  </conditionalFormatting>
  <conditionalFormatting sqref="R7">
    <cfRule type="cellIs" dxfId="1141" priority="175" operator="between">
      <formula>0.51</formula>
      <formula>0.75</formula>
    </cfRule>
  </conditionalFormatting>
  <conditionalFormatting sqref="S7">
    <cfRule type="cellIs" dxfId="1140" priority="174" operator="between">
      <formula>0.76</formula>
      <formula>0.95</formula>
    </cfRule>
  </conditionalFormatting>
  <conditionalFormatting sqref="T7">
    <cfRule type="cellIs" dxfId="1139" priority="173" operator="between">
      <formula>0.95</formula>
      <formula>1</formula>
    </cfRule>
  </conditionalFormatting>
  <conditionalFormatting sqref="U7">
    <cfRule type="cellIs" dxfId="1138" priority="172" operator="greaterThan">
      <formula>1</formula>
    </cfRule>
  </conditionalFormatting>
  <conditionalFormatting sqref="Q8">
    <cfRule type="cellIs" dxfId="1137" priority="171" stopIfTrue="1" operator="between">
      <formula>0</formula>
      <formula>0.5</formula>
    </cfRule>
  </conditionalFormatting>
  <conditionalFormatting sqref="R8">
    <cfRule type="cellIs" dxfId="1136" priority="170" operator="between">
      <formula>0.51</formula>
      <formula>0.75</formula>
    </cfRule>
  </conditionalFormatting>
  <conditionalFormatting sqref="S8">
    <cfRule type="cellIs" dxfId="1135" priority="169" operator="between">
      <formula>0.76</formula>
      <formula>0.95</formula>
    </cfRule>
  </conditionalFormatting>
  <conditionalFormatting sqref="T8">
    <cfRule type="cellIs" dxfId="1134" priority="168" operator="between">
      <formula>0.95</formula>
      <formula>1</formula>
    </cfRule>
  </conditionalFormatting>
  <conditionalFormatting sqref="U8">
    <cfRule type="cellIs" dxfId="1133" priority="167" operator="greaterThan">
      <formula>1</formula>
    </cfRule>
  </conditionalFormatting>
  <conditionalFormatting sqref="Q9">
    <cfRule type="cellIs" dxfId="1132" priority="166" stopIfTrue="1" operator="between">
      <formula>0</formula>
      <formula>0.5</formula>
    </cfRule>
  </conditionalFormatting>
  <conditionalFormatting sqref="R9">
    <cfRule type="cellIs" dxfId="1131" priority="165" operator="between">
      <formula>0.51</formula>
      <formula>0.75</formula>
    </cfRule>
  </conditionalFormatting>
  <conditionalFormatting sqref="S9">
    <cfRule type="cellIs" dxfId="1130" priority="164" operator="between">
      <formula>0.76</formula>
      <formula>0.95</formula>
    </cfRule>
  </conditionalFormatting>
  <conditionalFormatting sqref="T9">
    <cfRule type="cellIs" dxfId="1129" priority="163" operator="between">
      <formula>0.95</formula>
      <formula>1</formula>
    </cfRule>
  </conditionalFormatting>
  <conditionalFormatting sqref="U9">
    <cfRule type="cellIs" dxfId="1128" priority="162" operator="greaterThan">
      <formula>1</formula>
    </cfRule>
  </conditionalFormatting>
  <conditionalFormatting sqref="Q10">
    <cfRule type="cellIs" dxfId="1127" priority="161" stopIfTrue="1" operator="between">
      <formula>0</formula>
      <formula>0.5</formula>
    </cfRule>
  </conditionalFormatting>
  <conditionalFormatting sqref="R10">
    <cfRule type="cellIs" dxfId="1126" priority="160" operator="between">
      <formula>0.51</formula>
      <formula>0.75</formula>
    </cfRule>
  </conditionalFormatting>
  <conditionalFormatting sqref="S10">
    <cfRule type="cellIs" dxfId="1125" priority="159" operator="between">
      <formula>0.76</formula>
      <formula>0.95</formula>
    </cfRule>
  </conditionalFormatting>
  <conditionalFormatting sqref="T10">
    <cfRule type="cellIs" dxfId="1124" priority="158" operator="between">
      <formula>0.95</formula>
      <formula>1</formula>
    </cfRule>
  </conditionalFormatting>
  <conditionalFormatting sqref="U10">
    <cfRule type="cellIs" dxfId="1123" priority="157" operator="greaterThan">
      <formula>1</formula>
    </cfRule>
  </conditionalFormatting>
  <conditionalFormatting sqref="Q11">
    <cfRule type="cellIs" dxfId="1122" priority="156" stopIfTrue="1" operator="between">
      <formula>0</formula>
      <formula>0.5</formula>
    </cfRule>
  </conditionalFormatting>
  <conditionalFormatting sqref="R11">
    <cfRule type="cellIs" dxfId="1121" priority="155" operator="between">
      <formula>0.51</formula>
      <formula>0.75</formula>
    </cfRule>
  </conditionalFormatting>
  <conditionalFormatting sqref="S11">
    <cfRule type="cellIs" dxfId="1120" priority="154" operator="between">
      <formula>0.76</formula>
      <formula>0.95</formula>
    </cfRule>
  </conditionalFormatting>
  <conditionalFormatting sqref="T11">
    <cfRule type="cellIs" dxfId="1119" priority="153" operator="between">
      <formula>0.95</formula>
      <formula>1</formula>
    </cfRule>
  </conditionalFormatting>
  <conditionalFormatting sqref="U11">
    <cfRule type="cellIs" dxfId="1118" priority="152" operator="greaterThan">
      <formula>1</formula>
    </cfRule>
  </conditionalFormatting>
  <conditionalFormatting sqref="W6">
    <cfRule type="cellIs" dxfId="1117" priority="151" stopIfTrue="1" operator="between">
      <formula>0</formula>
      <formula>0.255</formula>
    </cfRule>
  </conditionalFormatting>
  <conditionalFormatting sqref="X6">
    <cfRule type="cellIs" dxfId="1116" priority="150" operator="between">
      <formula>0.2551</formula>
      <formula>0.375</formula>
    </cfRule>
  </conditionalFormatting>
  <conditionalFormatting sqref="Y6">
    <cfRule type="cellIs" dxfId="1115" priority="149" operator="between">
      <formula>0.38</formula>
      <formula>0.475</formula>
    </cfRule>
  </conditionalFormatting>
  <conditionalFormatting sqref="Z6">
    <cfRule type="cellIs" dxfId="1114" priority="148" operator="between">
      <formula>0.4751</formula>
      <formula>0.51</formula>
    </cfRule>
  </conditionalFormatting>
  <conditionalFormatting sqref="AA6">
    <cfRule type="cellIs" dxfId="1113" priority="147" operator="greaterThan">
      <formula>0.505</formula>
    </cfRule>
  </conditionalFormatting>
  <conditionalFormatting sqref="W7">
    <cfRule type="cellIs" dxfId="1112" priority="146" stopIfTrue="1" operator="between">
      <formula>0</formula>
      <formula>0.255</formula>
    </cfRule>
  </conditionalFormatting>
  <conditionalFormatting sqref="X7">
    <cfRule type="cellIs" dxfId="1111" priority="145" operator="between">
      <formula>0.2551</formula>
      <formula>0.375</formula>
    </cfRule>
  </conditionalFormatting>
  <conditionalFormatting sqref="Y7">
    <cfRule type="cellIs" dxfId="1110" priority="144" operator="between">
      <formula>0.38</formula>
      <formula>0.475</formula>
    </cfRule>
  </conditionalFormatting>
  <conditionalFormatting sqref="Z7">
    <cfRule type="cellIs" dxfId="1109" priority="143" operator="between">
      <formula>0.48</formula>
      <formula>0.51</formula>
    </cfRule>
  </conditionalFormatting>
  <conditionalFormatting sqref="AA7">
    <cfRule type="cellIs" dxfId="1108" priority="142" operator="greaterThan">
      <formula>0.505</formula>
    </cfRule>
  </conditionalFormatting>
  <conditionalFormatting sqref="W8">
    <cfRule type="cellIs" dxfId="1107" priority="141" stopIfTrue="1" operator="between">
      <formula>0</formula>
      <formula>0.255</formula>
    </cfRule>
  </conditionalFormatting>
  <conditionalFormatting sqref="X8">
    <cfRule type="cellIs" dxfId="1106" priority="140" operator="between">
      <formula>0.2551</formula>
      <formula>0.375</formula>
    </cfRule>
  </conditionalFormatting>
  <conditionalFormatting sqref="Y8">
    <cfRule type="cellIs" dxfId="1105" priority="139" operator="between">
      <formula>0.38</formula>
      <formula>0.475</formula>
    </cfRule>
  </conditionalFormatting>
  <conditionalFormatting sqref="Z8">
    <cfRule type="cellIs" dxfId="1104" priority="138" operator="between">
      <formula>0.48</formula>
      <formula>0.51</formula>
    </cfRule>
  </conditionalFormatting>
  <conditionalFormatting sqref="AA8">
    <cfRule type="cellIs" dxfId="1103" priority="137" operator="greaterThan">
      <formula>0.505</formula>
    </cfRule>
  </conditionalFormatting>
  <conditionalFormatting sqref="W9">
    <cfRule type="cellIs" dxfId="1102" priority="136" stopIfTrue="1" operator="between">
      <formula>0</formula>
      <formula>0.255</formula>
    </cfRule>
  </conditionalFormatting>
  <conditionalFormatting sqref="X9">
    <cfRule type="cellIs" dxfId="1101" priority="135" operator="between">
      <formula>0.2551</formula>
      <formula>0.375</formula>
    </cfRule>
  </conditionalFormatting>
  <conditionalFormatting sqref="Y9">
    <cfRule type="cellIs" dxfId="1100" priority="134" operator="between">
      <formula>0.38</formula>
      <formula>0.475</formula>
    </cfRule>
  </conditionalFormatting>
  <conditionalFormatting sqref="Z9">
    <cfRule type="cellIs" dxfId="1099" priority="133" operator="between">
      <formula>0.48</formula>
      <formula>0.51</formula>
    </cfRule>
  </conditionalFormatting>
  <conditionalFormatting sqref="AA9">
    <cfRule type="cellIs" dxfId="1098" priority="132" operator="greaterThan">
      <formula>0.505</formula>
    </cfRule>
  </conditionalFormatting>
  <conditionalFormatting sqref="W10">
    <cfRule type="cellIs" dxfId="1097" priority="131" stopIfTrue="1" operator="between">
      <formula>0</formula>
      <formula>0.255</formula>
    </cfRule>
  </conditionalFormatting>
  <conditionalFormatting sqref="X10">
    <cfRule type="cellIs" dxfId="1096" priority="130" operator="between">
      <formula>0.2551</formula>
      <formula>0.375</formula>
    </cfRule>
  </conditionalFormatting>
  <conditionalFormatting sqref="Y10">
    <cfRule type="cellIs" dxfId="1095" priority="129" operator="between">
      <formula>0.38</formula>
      <formula>0.475</formula>
    </cfRule>
  </conditionalFormatting>
  <conditionalFormatting sqref="Z10">
    <cfRule type="cellIs" dxfId="1094" priority="128" operator="between">
      <formula>0.48</formula>
      <formula>0.51</formula>
    </cfRule>
  </conditionalFormatting>
  <conditionalFormatting sqref="AA10">
    <cfRule type="cellIs" dxfId="1093" priority="127" operator="greaterThan">
      <formula>0.505</formula>
    </cfRule>
  </conditionalFormatting>
  <conditionalFormatting sqref="W11">
    <cfRule type="cellIs" dxfId="1092" priority="126" stopIfTrue="1" operator="between">
      <formula>0</formula>
      <formula>0.255</formula>
    </cfRule>
  </conditionalFormatting>
  <conditionalFormatting sqref="X11">
    <cfRule type="cellIs" dxfId="1091" priority="125" operator="between">
      <formula>0.2551</formula>
      <formula>0.375</formula>
    </cfRule>
  </conditionalFormatting>
  <conditionalFormatting sqref="Y11">
    <cfRule type="cellIs" dxfId="1090" priority="124" operator="between">
      <formula>0.38</formula>
      <formula>0.475</formula>
    </cfRule>
  </conditionalFormatting>
  <conditionalFormatting sqref="Z11">
    <cfRule type="cellIs" dxfId="1089" priority="123" operator="between">
      <formula>0.48</formula>
      <formula>0.51</formula>
    </cfRule>
  </conditionalFormatting>
  <conditionalFormatting sqref="AA11">
    <cfRule type="cellIs" dxfId="1088" priority="122" operator="greaterThan">
      <formula>0.505</formula>
    </cfRule>
  </conditionalFormatting>
  <conditionalFormatting sqref="AD6">
    <cfRule type="cellIs" dxfId="1087" priority="121" stopIfTrue="1" operator="between">
      <formula>0</formula>
      <formula>0.5</formula>
    </cfRule>
  </conditionalFormatting>
  <conditionalFormatting sqref="AE6">
    <cfRule type="cellIs" dxfId="1086" priority="120" operator="between">
      <formula>0.51</formula>
      <formula>0.75</formula>
    </cfRule>
  </conditionalFormatting>
  <conditionalFormatting sqref="AF6">
    <cfRule type="cellIs" dxfId="1085" priority="119" operator="between">
      <formula>0.76</formula>
      <formula>0.95</formula>
    </cfRule>
  </conditionalFormatting>
  <conditionalFormatting sqref="AG6">
    <cfRule type="cellIs" dxfId="1084" priority="118" operator="between">
      <formula>0.95</formula>
      <formula>1</formula>
    </cfRule>
  </conditionalFormatting>
  <conditionalFormatting sqref="AH6">
    <cfRule type="cellIs" dxfId="1083" priority="117" operator="greaterThan">
      <formula>1</formula>
    </cfRule>
  </conditionalFormatting>
  <conditionalFormatting sqref="AD7">
    <cfRule type="cellIs" dxfId="1082" priority="116" stopIfTrue="1" operator="between">
      <formula>0</formula>
      <formula>0.5</formula>
    </cfRule>
  </conditionalFormatting>
  <conditionalFormatting sqref="AE7">
    <cfRule type="cellIs" dxfId="1081" priority="115" operator="between">
      <formula>0.51</formula>
      <formula>0.75</formula>
    </cfRule>
  </conditionalFormatting>
  <conditionalFormatting sqref="AF7">
    <cfRule type="cellIs" dxfId="1080" priority="114" operator="between">
      <formula>0.76</formula>
      <formula>0.95</formula>
    </cfRule>
  </conditionalFormatting>
  <conditionalFormatting sqref="AG7">
    <cfRule type="cellIs" dxfId="1079" priority="113" operator="between">
      <formula>0.95</formula>
      <formula>1</formula>
    </cfRule>
  </conditionalFormatting>
  <conditionalFormatting sqref="AH7">
    <cfRule type="cellIs" dxfId="1078" priority="112" operator="greaterThan">
      <formula>1</formula>
    </cfRule>
  </conditionalFormatting>
  <conditionalFormatting sqref="AD8">
    <cfRule type="cellIs" dxfId="1077" priority="111" stopIfTrue="1" operator="between">
      <formula>0</formula>
      <formula>0.5</formula>
    </cfRule>
  </conditionalFormatting>
  <conditionalFormatting sqref="AE8">
    <cfRule type="cellIs" dxfId="1076" priority="110" operator="between">
      <formula>0.51</formula>
      <formula>0.75</formula>
    </cfRule>
  </conditionalFormatting>
  <conditionalFormatting sqref="AF8">
    <cfRule type="cellIs" dxfId="1075" priority="109" operator="between">
      <formula>0.76</formula>
      <formula>0.95</formula>
    </cfRule>
  </conditionalFormatting>
  <conditionalFormatting sqref="AG8">
    <cfRule type="cellIs" dxfId="1074" priority="108" operator="between">
      <formula>0.95</formula>
      <formula>1</formula>
    </cfRule>
  </conditionalFormatting>
  <conditionalFormatting sqref="AH8">
    <cfRule type="cellIs" dxfId="1073" priority="107" operator="greaterThan">
      <formula>1</formula>
    </cfRule>
  </conditionalFormatting>
  <conditionalFormatting sqref="AD9">
    <cfRule type="cellIs" dxfId="1072" priority="106" stopIfTrue="1" operator="between">
      <formula>0</formula>
      <formula>0.5</formula>
    </cfRule>
  </conditionalFormatting>
  <conditionalFormatting sqref="AE9">
    <cfRule type="cellIs" dxfId="1071" priority="105" operator="between">
      <formula>0.51</formula>
      <formula>0.75</formula>
    </cfRule>
  </conditionalFormatting>
  <conditionalFormatting sqref="AF9">
    <cfRule type="cellIs" dxfId="1070" priority="104" operator="between">
      <formula>0.76</formula>
      <formula>0.95</formula>
    </cfRule>
  </conditionalFormatting>
  <conditionalFormatting sqref="AG9">
    <cfRule type="cellIs" dxfId="1069" priority="103" operator="between">
      <formula>0.95</formula>
      <formula>1</formula>
    </cfRule>
  </conditionalFormatting>
  <conditionalFormatting sqref="AH9">
    <cfRule type="cellIs" dxfId="1068" priority="102" operator="greaterThan">
      <formula>1</formula>
    </cfRule>
  </conditionalFormatting>
  <conditionalFormatting sqref="AD10">
    <cfRule type="cellIs" dxfId="1067" priority="101" stopIfTrue="1" operator="between">
      <formula>0</formula>
      <formula>0.5</formula>
    </cfRule>
  </conditionalFormatting>
  <conditionalFormatting sqref="AE10">
    <cfRule type="cellIs" dxfId="1066" priority="100" operator="between">
      <formula>0.51</formula>
      <formula>0.75</formula>
    </cfRule>
  </conditionalFormatting>
  <conditionalFormatting sqref="AF10">
    <cfRule type="cellIs" dxfId="1065" priority="99" operator="between">
      <formula>0.76</formula>
      <formula>0.95</formula>
    </cfRule>
  </conditionalFormatting>
  <conditionalFormatting sqref="AG10">
    <cfRule type="cellIs" dxfId="1064" priority="98" operator="between">
      <formula>0.95</formula>
      <formula>1</formula>
    </cfRule>
  </conditionalFormatting>
  <conditionalFormatting sqref="AH10">
    <cfRule type="cellIs" dxfId="1063" priority="97" operator="greaterThan">
      <formula>1</formula>
    </cfRule>
  </conditionalFormatting>
  <conditionalFormatting sqref="AD11">
    <cfRule type="cellIs" dxfId="1062" priority="96" stopIfTrue="1" operator="between">
      <formula>0</formula>
      <formula>0.5</formula>
    </cfRule>
  </conditionalFormatting>
  <conditionalFormatting sqref="AE11">
    <cfRule type="cellIs" dxfId="1061" priority="95" operator="between">
      <formula>0.51</formula>
      <formula>0.75</formula>
    </cfRule>
  </conditionalFormatting>
  <conditionalFormatting sqref="AF11">
    <cfRule type="cellIs" dxfId="1060" priority="94" operator="between">
      <formula>0.76</formula>
      <formula>0.95</formula>
    </cfRule>
  </conditionalFormatting>
  <conditionalFormatting sqref="AG11">
    <cfRule type="cellIs" dxfId="1059" priority="93" operator="between">
      <formula>0.95</formula>
      <formula>1</formula>
    </cfRule>
  </conditionalFormatting>
  <conditionalFormatting sqref="AH11">
    <cfRule type="cellIs" dxfId="1058" priority="92" operator="greaterThan">
      <formula>1</formula>
    </cfRule>
  </conditionalFormatting>
  <conditionalFormatting sqref="AJ6">
    <cfRule type="cellIs" dxfId="1057" priority="91" stopIfTrue="1" operator="between">
      <formula>0</formula>
      <formula>0.375</formula>
    </cfRule>
  </conditionalFormatting>
  <conditionalFormatting sqref="AK6">
    <cfRule type="cellIs" dxfId="1056" priority="90" operator="between">
      <formula>0.3751</formula>
      <formula>0.5625</formula>
    </cfRule>
  </conditionalFormatting>
  <conditionalFormatting sqref="AL6">
    <cfRule type="cellIs" dxfId="1055" priority="89" operator="between">
      <formula>0.563</formula>
      <formula>0.7125</formula>
    </cfRule>
  </conditionalFormatting>
  <conditionalFormatting sqref="AM6">
    <cfRule type="cellIs" dxfId="1054" priority="88" operator="between">
      <formula>0.713</formula>
      <formula>0.75</formula>
    </cfRule>
  </conditionalFormatting>
  <conditionalFormatting sqref="AN6">
    <cfRule type="cellIs" dxfId="1053" priority="87" operator="greaterThan">
      <formula>0.755</formula>
    </cfRule>
  </conditionalFormatting>
  <conditionalFormatting sqref="AJ7">
    <cfRule type="cellIs" dxfId="1052" priority="86" stopIfTrue="1" operator="between">
      <formula>0</formula>
      <formula>0.375</formula>
    </cfRule>
  </conditionalFormatting>
  <conditionalFormatting sqref="AK7">
    <cfRule type="cellIs" dxfId="1051" priority="85" operator="between">
      <formula>0.3751</formula>
      <formula>0.5625</formula>
    </cfRule>
  </conditionalFormatting>
  <conditionalFormatting sqref="AL7">
    <cfRule type="cellIs" dxfId="1050" priority="84" operator="between">
      <formula>0.563</formula>
      <formula>0.7125</formula>
    </cfRule>
  </conditionalFormatting>
  <conditionalFormatting sqref="AM7">
    <cfRule type="cellIs" dxfId="1049" priority="83" operator="between">
      <formula>0.713</formula>
      <formula>0.75</formula>
    </cfRule>
  </conditionalFormatting>
  <conditionalFormatting sqref="AN7">
    <cfRule type="cellIs" dxfId="1048" priority="82" operator="greaterThan">
      <formula>0.755</formula>
    </cfRule>
  </conditionalFormatting>
  <conditionalFormatting sqref="AJ8">
    <cfRule type="cellIs" dxfId="1047" priority="81" stopIfTrue="1" operator="between">
      <formula>0</formula>
      <formula>0.375</formula>
    </cfRule>
  </conditionalFormatting>
  <conditionalFormatting sqref="AK8">
    <cfRule type="cellIs" dxfId="1046" priority="80" operator="between">
      <formula>0.3751</formula>
      <formula>0.5625</formula>
    </cfRule>
  </conditionalFormatting>
  <conditionalFormatting sqref="AL8">
    <cfRule type="cellIs" dxfId="1045" priority="79" operator="between">
      <formula>0.563</formula>
      <formula>0.7125</formula>
    </cfRule>
  </conditionalFormatting>
  <conditionalFormatting sqref="AM8">
    <cfRule type="cellIs" dxfId="1044" priority="78" operator="between">
      <formula>0.713</formula>
      <formula>0.75</formula>
    </cfRule>
  </conditionalFormatting>
  <conditionalFormatting sqref="AN8">
    <cfRule type="cellIs" dxfId="1043" priority="77" operator="greaterThan">
      <formula>0.755</formula>
    </cfRule>
  </conditionalFormatting>
  <conditionalFormatting sqref="AJ9">
    <cfRule type="cellIs" dxfId="1042" priority="76" stopIfTrue="1" operator="between">
      <formula>0</formula>
      <formula>0.375</formula>
    </cfRule>
  </conditionalFormatting>
  <conditionalFormatting sqref="AK9">
    <cfRule type="cellIs" dxfId="1041" priority="75" operator="between">
      <formula>0.3751</formula>
      <formula>0.5625</formula>
    </cfRule>
  </conditionalFormatting>
  <conditionalFormatting sqref="AL9">
    <cfRule type="cellIs" dxfId="1040" priority="74" operator="between">
      <formula>0.563</formula>
      <formula>0.7125</formula>
    </cfRule>
  </conditionalFormatting>
  <conditionalFormatting sqref="AM9">
    <cfRule type="cellIs" dxfId="1039" priority="73" operator="between">
      <formula>0.713</formula>
      <formula>0.75</formula>
    </cfRule>
  </conditionalFormatting>
  <conditionalFormatting sqref="AN9">
    <cfRule type="cellIs" dxfId="1038" priority="72" operator="greaterThan">
      <formula>0.755</formula>
    </cfRule>
  </conditionalFormatting>
  <conditionalFormatting sqref="AJ10">
    <cfRule type="cellIs" dxfId="1037" priority="71" stopIfTrue="1" operator="between">
      <formula>0</formula>
      <formula>0.375</formula>
    </cfRule>
  </conditionalFormatting>
  <conditionalFormatting sqref="AK10">
    <cfRule type="cellIs" dxfId="1036" priority="70" operator="between">
      <formula>0.3751</formula>
      <formula>0.5625</formula>
    </cfRule>
  </conditionalFormatting>
  <conditionalFormatting sqref="AL10">
    <cfRule type="cellIs" dxfId="1035" priority="69" operator="between">
      <formula>0.563</formula>
      <formula>0.7125</formula>
    </cfRule>
  </conditionalFormatting>
  <conditionalFormatting sqref="AM10">
    <cfRule type="cellIs" dxfId="1034" priority="68" operator="between">
      <formula>0.713</formula>
      <formula>0.75</formula>
    </cfRule>
  </conditionalFormatting>
  <conditionalFormatting sqref="AN10">
    <cfRule type="cellIs" dxfId="1033" priority="67" operator="greaterThan">
      <formula>0.755</formula>
    </cfRule>
  </conditionalFormatting>
  <conditionalFormatting sqref="AJ11">
    <cfRule type="cellIs" dxfId="1032" priority="66" stopIfTrue="1" operator="between">
      <formula>0</formula>
      <formula>0.375</formula>
    </cfRule>
  </conditionalFormatting>
  <conditionalFormatting sqref="AK11">
    <cfRule type="cellIs" dxfId="1031" priority="65" operator="between">
      <formula>0.3751</formula>
      <formula>0.5625</formula>
    </cfRule>
  </conditionalFormatting>
  <conditionalFormatting sqref="AL11">
    <cfRule type="cellIs" dxfId="1030" priority="64" operator="between">
      <formula>0.563</formula>
      <formula>0.7125</formula>
    </cfRule>
  </conditionalFormatting>
  <conditionalFormatting sqref="AM11">
    <cfRule type="cellIs" dxfId="1029" priority="63" operator="between">
      <formula>0.713</formula>
      <formula>0.75</formula>
    </cfRule>
  </conditionalFormatting>
  <conditionalFormatting sqref="AN11">
    <cfRule type="cellIs" dxfId="1028" priority="62" operator="greaterThan">
      <formula>0.755</formula>
    </cfRule>
  </conditionalFormatting>
  <conditionalFormatting sqref="AQ6">
    <cfRule type="cellIs" dxfId="1027" priority="61" stopIfTrue="1" operator="between">
      <formula>0</formula>
      <formula>0.5</formula>
    </cfRule>
  </conditionalFormatting>
  <conditionalFormatting sqref="AR6">
    <cfRule type="cellIs" dxfId="1026" priority="60" operator="between">
      <formula>0.51</formula>
      <formula>0.75</formula>
    </cfRule>
  </conditionalFormatting>
  <conditionalFormatting sqref="AS6">
    <cfRule type="cellIs" dxfId="1025" priority="59" operator="between">
      <formula>0.76</formula>
      <formula>0.95</formula>
    </cfRule>
  </conditionalFormatting>
  <conditionalFormatting sqref="AT6">
    <cfRule type="cellIs" dxfId="1024" priority="58" operator="between">
      <formula>0.95</formula>
      <formula>1</formula>
    </cfRule>
  </conditionalFormatting>
  <conditionalFormatting sqref="AU6">
    <cfRule type="cellIs" dxfId="1023" priority="57" operator="greaterThan">
      <formula>1</formula>
    </cfRule>
  </conditionalFormatting>
  <conditionalFormatting sqref="AQ7">
    <cfRule type="cellIs" dxfId="1022" priority="56" stopIfTrue="1" operator="between">
      <formula>0</formula>
      <formula>0.5</formula>
    </cfRule>
  </conditionalFormatting>
  <conditionalFormatting sqref="AR7">
    <cfRule type="cellIs" dxfId="1021" priority="55" operator="between">
      <formula>0.51</formula>
      <formula>0.75</formula>
    </cfRule>
  </conditionalFormatting>
  <conditionalFormatting sqref="AS7">
    <cfRule type="cellIs" dxfId="1020" priority="54" operator="between">
      <formula>0.76</formula>
      <formula>0.95</formula>
    </cfRule>
  </conditionalFormatting>
  <conditionalFormatting sqref="AT7">
    <cfRule type="cellIs" dxfId="1019" priority="53" operator="between">
      <formula>0.95</formula>
      <formula>1</formula>
    </cfRule>
  </conditionalFormatting>
  <conditionalFormatting sqref="AU7">
    <cfRule type="cellIs" dxfId="1018" priority="52" operator="greaterThan">
      <formula>1</formula>
    </cfRule>
  </conditionalFormatting>
  <conditionalFormatting sqref="AQ8">
    <cfRule type="cellIs" dxfId="1017" priority="51" stopIfTrue="1" operator="between">
      <formula>0</formula>
      <formula>0.5</formula>
    </cfRule>
  </conditionalFormatting>
  <conditionalFormatting sqref="AR8">
    <cfRule type="cellIs" dxfId="1016" priority="50" operator="between">
      <formula>0.51</formula>
      <formula>0.75</formula>
    </cfRule>
  </conditionalFormatting>
  <conditionalFormatting sqref="AS8">
    <cfRule type="cellIs" dxfId="1015" priority="49" operator="between">
      <formula>0.76</formula>
      <formula>0.95</formula>
    </cfRule>
  </conditionalFormatting>
  <conditionalFormatting sqref="AT8">
    <cfRule type="cellIs" dxfId="1014" priority="48" operator="between">
      <formula>0.95</formula>
      <formula>1</formula>
    </cfRule>
  </conditionalFormatting>
  <conditionalFormatting sqref="AU8">
    <cfRule type="cellIs" dxfId="1013" priority="47" operator="greaterThan">
      <formula>1</formula>
    </cfRule>
  </conditionalFormatting>
  <conditionalFormatting sqref="AQ9">
    <cfRule type="cellIs" dxfId="1012" priority="46" stopIfTrue="1" operator="between">
      <formula>0</formula>
      <formula>0.5</formula>
    </cfRule>
  </conditionalFormatting>
  <conditionalFormatting sqref="AR9">
    <cfRule type="cellIs" dxfId="1011" priority="45" operator="between">
      <formula>0.51</formula>
      <formula>0.75</formula>
    </cfRule>
  </conditionalFormatting>
  <conditionalFormatting sqref="AS9">
    <cfRule type="cellIs" dxfId="1010" priority="44" operator="between">
      <formula>0.76</formula>
      <formula>0.95</formula>
    </cfRule>
  </conditionalFormatting>
  <conditionalFormatting sqref="AT9">
    <cfRule type="cellIs" dxfId="1009" priority="43" operator="between">
      <formula>0.95</formula>
      <formula>1</formula>
    </cfRule>
  </conditionalFormatting>
  <conditionalFormatting sqref="AU9">
    <cfRule type="cellIs" dxfId="1008" priority="42" operator="greaterThan">
      <formula>1</formula>
    </cfRule>
  </conditionalFormatting>
  <conditionalFormatting sqref="AQ10">
    <cfRule type="cellIs" dxfId="1007" priority="41" stopIfTrue="1" operator="between">
      <formula>0</formula>
      <formula>0.5</formula>
    </cfRule>
  </conditionalFormatting>
  <conditionalFormatting sqref="AR10">
    <cfRule type="cellIs" dxfId="1006" priority="40" operator="between">
      <formula>0.51</formula>
      <formula>0.75</formula>
    </cfRule>
  </conditionalFormatting>
  <conditionalFormatting sqref="AS10">
    <cfRule type="cellIs" dxfId="1005" priority="39" operator="between">
      <formula>0.76</formula>
      <formula>0.95</formula>
    </cfRule>
  </conditionalFormatting>
  <conditionalFormatting sqref="AT10">
    <cfRule type="cellIs" dxfId="1004" priority="38" operator="between">
      <formula>0.95</formula>
      <formula>1</formula>
    </cfRule>
  </conditionalFormatting>
  <conditionalFormatting sqref="AU10">
    <cfRule type="cellIs" dxfId="1003" priority="37" operator="greaterThan">
      <formula>1</formula>
    </cfRule>
  </conditionalFormatting>
  <conditionalFormatting sqref="AQ11">
    <cfRule type="cellIs" dxfId="1002" priority="36" stopIfTrue="1" operator="between">
      <formula>0</formula>
      <formula>0.5</formula>
    </cfRule>
  </conditionalFormatting>
  <conditionalFormatting sqref="AR11">
    <cfRule type="cellIs" dxfId="1001" priority="35" operator="between">
      <formula>0.51</formula>
      <formula>0.75</formula>
    </cfRule>
  </conditionalFormatting>
  <conditionalFormatting sqref="AS11">
    <cfRule type="cellIs" dxfId="1000" priority="34" operator="between">
      <formula>0.76</formula>
      <formula>0.95</formula>
    </cfRule>
  </conditionalFormatting>
  <conditionalFormatting sqref="AT11">
    <cfRule type="cellIs" dxfId="999" priority="33" operator="between">
      <formula>0.95</formula>
      <formula>1</formula>
    </cfRule>
  </conditionalFormatting>
  <conditionalFormatting sqref="AU11">
    <cfRule type="cellIs" dxfId="998" priority="32" operator="greaterThan">
      <formula>1</formula>
    </cfRule>
  </conditionalFormatting>
  <conditionalFormatting sqref="AX6">
    <cfRule type="cellIs" dxfId="997" priority="30" operator="between">
      <formula>0.501</formula>
      <formula>0.75</formula>
    </cfRule>
  </conditionalFormatting>
  <conditionalFormatting sqref="AY6">
    <cfRule type="cellIs" dxfId="996" priority="29" operator="between">
      <formula>0.76</formula>
      <formula>0.95</formula>
    </cfRule>
  </conditionalFormatting>
  <conditionalFormatting sqref="AZ6">
    <cfRule type="cellIs" dxfId="995" priority="28" operator="between">
      <formula>0.95</formula>
      <formula>1</formula>
    </cfRule>
  </conditionalFormatting>
  <conditionalFormatting sqref="BA6">
    <cfRule type="cellIs" dxfId="994" priority="27" operator="greaterThan">
      <formula>1</formula>
    </cfRule>
  </conditionalFormatting>
  <conditionalFormatting sqref="AW7">
    <cfRule type="cellIs" dxfId="993" priority="26" stopIfTrue="1" operator="between">
      <formula>0</formula>
      <formula>0.5</formula>
    </cfRule>
  </conditionalFormatting>
  <conditionalFormatting sqref="AX7">
    <cfRule type="cellIs" dxfId="992" priority="25" operator="between">
      <formula>0.51</formula>
      <formula>0.75</formula>
    </cfRule>
  </conditionalFormatting>
  <conditionalFormatting sqref="AY7">
    <cfRule type="cellIs" dxfId="991" priority="24" operator="between">
      <formula>0.76</formula>
      <formula>0.95</formula>
    </cfRule>
  </conditionalFormatting>
  <conditionalFormatting sqref="AZ7">
    <cfRule type="cellIs" dxfId="990" priority="23" operator="between">
      <formula>0.95</formula>
      <formula>1</formula>
    </cfRule>
  </conditionalFormatting>
  <conditionalFormatting sqref="BA7">
    <cfRule type="cellIs" dxfId="989" priority="22" operator="greaterThan">
      <formula>1</formula>
    </cfRule>
  </conditionalFormatting>
  <conditionalFormatting sqref="AW8">
    <cfRule type="cellIs" dxfId="988" priority="21" stopIfTrue="1" operator="between">
      <formula>0</formula>
      <formula>0.5</formula>
    </cfRule>
  </conditionalFormatting>
  <conditionalFormatting sqref="AX8">
    <cfRule type="cellIs" dxfId="987" priority="20" operator="between">
      <formula>0.51</formula>
      <formula>0.75</formula>
    </cfRule>
  </conditionalFormatting>
  <conditionalFormatting sqref="AY8">
    <cfRule type="cellIs" dxfId="986" priority="19" operator="between">
      <formula>0.76</formula>
      <formula>0.95</formula>
    </cfRule>
  </conditionalFormatting>
  <conditionalFormatting sqref="AZ8">
    <cfRule type="cellIs" dxfId="985" priority="18" operator="between">
      <formula>0.95</formula>
      <formula>1</formula>
    </cfRule>
  </conditionalFormatting>
  <conditionalFormatting sqref="BA8">
    <cfRule type="cellIs" dxfId="984" priority="17" operator="greaterThan">
      <formula>1</formula>
    </cfRule>
  </conditionalFormatting>
  <conditionalFormatting sqref="AW9">
    <cfRule type="cellIs" dxfId="983" priority="16" stopIfTrue="1" operator="between">
      <formula>0</formula>
      <formula>0.5</formula>
    </cfRule>
  </conditionalFormatting>
  <conditionalFormatting sqref="AX9">
    <cfRule type="cellIs" dxfId="982" priority="15" operator="between">
      <formula>0.51</formula>
      <formula>0.75</formula>
    </cfRule>
  </conditionalFormatting>
  <conditionalFormatting sqref="AY9">
    <cfRule type="cellIs" dxfId="981" priority="14" operator="between">
      <formula>0.76</formula>
      <formula>0.95</formula>
    </cfRule>
  </conditionalFormatting>
  <conditionalFormatting sqref="AZ9">
    <cfRule type="cellIs" dxfId="980" priority="13" operator="between">
      <formula>0.95</formula>
      <formula>1</formula>
    </cfRule>
  </conditionalFormatting>
  <conditionalFormatting sqref="BA9">
    <cfRule type="cellIs" dxfId="979" priority="12" operator="greaterThan">
      <formula>1</formula>
    </cfRule>
  </conditionalFormatting>
  <conditionalFormatting sqref="AW10">
    <cfRule type="cellIs" dxfId="978" priority="11" stopIfTrue="1" operator="between">
      <formula>0</formula>
      <formula>0.5</formula>
    </cfRule>
  </conditionalFormatting>
  <conditionalFormatting sqref="AX10">
    <cfRule type="cellIs" dxfId="977" priority="10" operator="between">
      <formula>0.51</formula>
      <formula>0.75</formula>
    </cfRule>
  </conditionalFormatting>
  <conditionalFormatting sqref="AY10">
    <cfRule type="cellIs" dxfId="976" priority="9" operator="between">
      <formula>0.76</formula>
      <formula>0.95</formula>
    </cfRule>
  </conditionalFormatting>
  <conditionalFormatting sqref="AZ10">
    <cfRule type="cellIs" dxfId="975" priority="8" operator="between">
      <formula>0.95</formula>
      <formula>1</formula>
    </cfRule>
  </conditionalFormatting>
  <conditionalFormatting sqref="BA10">
    <cfRule type="cellIs" dxfId="974" priority="7" operator="greaterThan">
      <formula>1</formula>
    </cfRule>
  </conditionalFormatting>
  <conditionalFormatting sqref="AW11">
    <cfRule type="cellIs" dxfId="973" priority="6" stopIfTrue="1" operator="between">
      <formula>0</formula>
      <formula>0.5</formula>
    </cfRule>
  </conditionalFormatting>
  <conditionalFormatting sqref="AX11">
    <cfRule type="cellIs" dxfId="972" priority="5" operator="between">
      <formula>0.51</formula>
      <formula>0.75</formula>
    </cfRule>
  </conditionalFormatting>
  <conditionalFormatting sqref="AY11">
    <cfRule type="cellIs" dxfId="971" priority="4" operator="between">
      <formula>0.76</formula>
      <formula>0.95</formula>
    </cfRule>
  </conditionalFormatting>
  <conditionalFormatting sqref="AZ11">
    <cfRule type="cellIs" dxfId="970" priority="3" operator="between">
      <formula>0.95</formula>
      <formula>1</formula>
    </cfRule>
  </conditionalFormatting>
  <conditionalFormatting sqref="BA11">
    <cfRule type="cellIs" dxfId="969" priority="2" operator="greaterThan">
      <formula>1</formula>
    </cfRule>
  </conditionalFormatting>
  <conditionalFormatting sqref="AW6">
    <cfRule type="cellIs" dxfId="968" priority="1" stopIfTrue="1" operator="between">
      <formula>0</formula>
      <formula>0.5</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workbookViewId="0">
      <selection activeCell="H8" sqref="H8"/>
    </sheetView>
  </sheetViews>
  <sheetFormatPr baseColWidth="10" defaultRowHeight="15" x14ac:dyDescent="0.25"/>
  <cols>
    <col min="1" max="1" width="13.140625" customWidth="1"/>
    <col min="2" max="2" width="17.85546875" hidden="1" customWidth="1"/>
    <col min="3" max="5" width="0" hidden="1" customWidth="1"/>
    <col min="6" max="6" width="14.28515625" customWidth="1"/>
    <col min="7" max="7" width="14.140625" customWidth="1"/>
    <col min="8" max="10" width="15.7109375" customWidth="1"/>
  </cols>
  <sheetData>
    <row r="1" spans="1:12" ht="15" customHeight="1" x14ac:dyDescent="0.25">
      <c r="A1" s="1062"/>
      <c r="B1" s="1063"/>
      <c r="C1" s="1063"/>
      <c r="D1" s="1063"/>
      <c r="E1" s="1063"/>
      <c r="F1" s="1064"/>
      <c r="G1" s="448" t="s">
        <v>954</v>
      </c>
      <c r="H1" s="1250" t="s">
        <v>955</v>
      </c>
      <c r="I1" s="1250"/>
      <c r="J1" s="1250"/>
      <c r="K1" s="1251"/>
      <c r="L1" s="1252"/>
    </row>
    <row r="2" spans="1:12" ht="25.5" customHeight="1" x14ac:dyDescent="0.25">
      <c r="A2" s="1065"/>
      <c r="B2" s="1066"/>
      <c r="C2" s="1066"/>
      <c r="D2" s="1066"/>
      <c r="E2" s="1066"/>
      <c r="F2" s="1067"/>
      <c r="G2" s="449" t="s">
        <v>956</v>
      </c>
      <c r="H2" s="1257" t="s">
        <v>963</v>
      </c>
      <c r="I2" s="1257"/>
      <c r="J2" s="1257"/>
      <c r="K2" s="1253"/>
      <c r="L2" s="1254"/>
    </row>
    <row r="3" spans="1:12" ht="16.5" customHeight="1" thickBot="1" x14ac:dyDescent="0.3">
      <c r="A3" s="1068"/>
      <c r="B3" s="1069"/>
      <c r="C3" s="1069"/>
      <c r="D3" s="1069"/>
      <c r="E3" s="1069"/>
      <c r="F3" s="1070"/>
      <c r="G3" s="450" t="s">
        <v>852</v>
      </c>
      <c r="H3" s="451" t="s">
        <v>960</v>
      </c>
      <c r="I3" s="451" t="s">
        <v>959</v>
      </c>
      <c r="J3" s="451">
        <v>1</v>
      </c>
      <c r="K3" s="1255"/>
      <c r="L3" s="1256"/>
    </row>
    <row r="5" spans="1:12" ht="38.25" x14ac:dyDescent="0.25">
      <c r="A5" s="266" t="s">
        <v>849</v>
      </c>
      <c r="B5" s="267"/>
      <c r="C5" s="267"/>
      <c r="D5" s="267"/>
      <c r="E5" s="267"/>
      <c r="F5" s="266" t="s">
        <v>866</v>
      </c>
      <c r="G5" s="173"/>
      <c r="H5" s="173"/>
      <c r="I5" s="173"/>
      <c r="J5" s="173"/>
      <c r="K5" s="173"/>
    </row>
    <row r="6" spans="1:12" x14ac:dyDescent="0.25">
      <c r="A6" s="267">
        <v>1</v>
      </c>
      <c r="B6" s="268">
        <v>19.177318415053659</v>
      </c>
      <c r="C6" s="269">
        <v>19.177318415053659</v>
      </c>
      <c r="D6" s="267">
        <v>40</v>
      </c>
      <c r="E6" s="267">
        <v>40</v>
      </c>
      <c r="F6" s="267">
        <v>0.47943296037634148</v>
      </c>
      <c r="G6" s="173"/>
      <c r="H6" s="173"/>
      <c r="I6" s="173"/>
      <c r="J6" s="173"/>
      <c r="K6" s="173"/>
    </row>
    <row r="7" spans="1:12" x14ac:dyDescent="0.25">
      <c r="A7" s="267">
        <v>2</v>
      </c>
      <c r="B7" s="268">
        <v>20.164260306985611</v>
      </c>
      <c r="C7" s="270">
        <v>0.98694189193195214</v>
      </c>
      <c r="D7" s="267">
        <v>41</v>
      </c>
      <c r="E7" s="267">
        <v>1</v>
      </c>
      <c r="F7" s="267">
        <v>0.98694189193195214</v>
      </c>
      <c r="G7" s="173"/>
      <c r="H7" s="173"/>
      <c r="I7" s="173"/>
      <c r="J7" s="173"/>
      <c r="K7" s="173"/>
    </row>
    <row r="8" spans="1:12" x14ac:dyDescent="0.25">
      <c r="A8" s="267">
        <v>4</v>
      </c>
      <c r="B8" s="268">
        <v>25.449598148944077</v>
      </c>
      <c r="C8" s="270">
        <v>5.2853378419584658</v>
      </c>
      <c r="D8" s="267">
        <v>51</v>
      </c>
      <c r="E8" s="267">
        <v>10</v>
      </c>
      <c r="F8" s="267">
        <v>0.52853378419584662</v>
      </c>
      <c r="G8" s="173"/>
      <c r="H8" s="173"/>
      <c r="I8" s="173"/>
      <c r="J8" s="173"/>
      <c r="K8" s="173"/>
    </row>
    <row r="9" spans="1:12" x14ac:dyDescent="0.25">
      <c r="A9" s="267">
        <v>5</v>
      </c>
      <c r="B9" s="268">
        <v>38.707473829546188</v>
      </c>
      <c r="C9" s="270">
        <v>13.257875680602112</v>
      </c>
      <c r="D9" s="267">
        <v>78</v>
      </c>
      <c r="E9" s="267">
        <v>27</v>
      </c>
      <c r="F9" s="267">
        <v>0.49103243261489304</v>
      </c>
      <c r="G9" s="173"/>
      <c r="H9" s="173"/>
      <c r="I9" s="173"/>
      <c r="J9" s="173"/>
      <c r="K9" s="173"/>
    </row>
    <row r="10" spans="1:12" x14ac:dyDescent="0.25">
      <c r="A10" s="267">
        <v>6</v>
      </c>
      <c r="B10" s="268">
        <v>39.882448551043126</v>
      </c>
      <c r="C10" s="270">
        <v>1.1749747214969375</v>
      </c>
      <c r="D10" s="267">
        <v>81</v>
      </c>
      <c r="E10" s="267">
        <v>3</v>
      </c>
      <c r="F10" s="267">
        <v>0.39165824049897918</v>
      </c>
      <c r="G10" s="173"/>
      <c r="H10" s="173"/>
      <c r="I10" s="173"/>
      <c r="J10" s="173"/>
      <c r="K10" s="173"/>
    </row>
    <row r="11" spans="1:12" x14ac:dyDescent="0.25">
      <c r="A11" s="267">
        <v>7</v>
      </c>
      <c r="B11" s="268">
        <v>52.420649613242077</v>
      </c>
      <c r="C11" s="270">
        <v>12.538201062198951</v>
      </c>
      <c r="D11" s="267">
        <v>106</v>
      </c>
      <c r="E11" s="267">
        <v>25</v>
      </c>
      <c r="F11" s="267">
        <v>0.50152804248795801</v>
      </c>
      <c r="G11" s="173"/>
      <c r="H11" s="173"/>
      <c r="I11" s="173"/>
      <c r="J11" s="173"/>
      <c r="K11" s="173"/>
    </row>
    <row r="12" spans="1:12" x14ac:dyDescent="0.25">
      <c r="A12" s="267">
        <v>8</v>
      </c>
      <c r="B12" s="268">
        <v>53.339276905176533</v>
      </c>
      <c r="C12" s="270">
        <v>0.91862729193445603</v>
      </c>
      <c r="D12" s="267">
        <v>107</v>
      </c>
      <c r="E12" s="267">
        <v>1</v>
      </c>
      <c r="F12" s="267">
        <v>0.91862729193445603</v>
      </c>
      <c r="G12" s="173"/>
      <c r="H12" s="173"/>
      <c r="I12" s="173"/>
      <c r="J12" s="173"/>
      <c r="K12" s="173"/>
    </row>
    <row r="13" spans="1:12" x14ac:dyDescent="0.25">
      <c r="A13" s="267">
        <v>9</v>
      </c>
      <c r="B13" s="268">
        <v>53.458774001719021</v>
      </c>
      <c r="C13" s="270">
        <v>0.11949709654248863</v>
      </c>
      <c r="D13" s="267">
        <v>108</v>
      </c>
      <c r="E13" s="267">
        <v>1</v>
      </c>
      <c r="F13" s="267">
        <v>0.11949709654248863</v>
      </c>
      <c r="G13" s="173"/>
      <c r="H13" s="173"/>
      <c r="I13" s="173"/>
      <c r="J13" s="173"/>
      <c r="K13" s="173"/>
    </row>
    <row r="14" spans="1:12" x14ac:dyDescent="0.25">
      <c r="A14" s="267">
        <v>10</v>
      </c>
      <c r="B14" s="268">
        <v>58.314478170991705</v>
      </c>
      <c r="C14" s="270">
        <v>4.8557041692726841</v>
      </c>
      <c r="D14" s="267">
        <v>119</v>
      </c>
      <c r="E14" s="267">
        <v>11</v>
      </c>
      <c r="F14" s="267">
        <v>0.44142765175206217</v>
      </c>
      <c r="G14" s="173"/>
      <c r="H14" s="173"/>
      <c r="I14" s="173"/>
      <c r="J14" s="173"/>
      <c r="K14" s="173"/>
    </row>
    <row r="15" spans="1:12" x14ac:dyDescent="0.25">
      <c r="A15" s="267">
        <v>11</v>
      </c>
      <c r="B15" s="268">
        <v>59.591919931324512</v>
      </c>
      <c r="C15" s="270">
        <v>1.2774417603328061</v>
      </c>
      <c r="D15" s="267">
        <v>121</v>
      </c>
      <c r="E15" s="267">
        <v>2</v>
      </c>
      <c r="F15" s="267">
        <v>0.63872088016640305</v>
      </c>
      <c r="G15" s="173"/>
      <c r="H15" s="173"/>
      <c r="I15" s="173"/>
      <c r="J15" s="173"/>
      <c r="K15" s="173"/>
    </row>
    <row r="16" spans="1:12" x14ac:dyDescent="0.25">
      <c r="A16" s="267">
        <v>12</v>
      </c>
      <c r="B16" s="268">
        <v>60.287980509007838</v>
      </c>
      <c r="C16" s="270">
        <v>0.69606057768332619</v>
      </c>
      <c r="D16" s="267">
        <v>122</v>
      </c>
      <c r="E16" s="267">
        <v>1</v>
      </c>
      <c r="F16" s="267">
        <v>0.69606057768332619</v>
      </c>
      <c r="G16" s="173"/>
      <c r="H16" s="173"/>
      <c r="I16" s="173"/>
      <c r="J16" s="173"/>
      <c r="K16" s="173"/>
    </row>
    <row r="17" spans="1:11" x14ac:dyDescent="0.25">
      <c r="A17" s="267">
        <v>31</v>
      </c>
      <c r="B17" s="268">
        <v>63.909198218387736</v>
      </c>
      <c r="C17" s="270">
        <v>3.6212177093798985</v>
      </c>
      <c r="D17" s="267">
        <v>129</v>
      </c>
      <c r="E17" s="267">
        <v>7</v>
      </c>
      <c r="F17" s="267">
        <v>0.51731681562569976</v>
      </c>
      <c r="G17" s="173"/>
      <c r="H17" s="173"/>
      <c r="I17" s="173"/>
      <c r="J17" s="173"/>
      <c r="K17" s="173"/>
    </row>
    <row r="18" spans="1:11" x14ac:dyDescent="0.25">
      <c r="A18" s="267">
        <v>32</v>
      </c>
      <c r="B18" s="268">
        <v>69.237478738634053</v>
      </c>
      <c r="C18" s="270">
        <v>5.3282805202463166</v>
      </c>
      <c r="D18" s="267">
        <v>143</v>
      </c>
      <c r="E18" s="267">
        <v>14</v>
      </c>
      <c r="F18" s="267">
        <v>0.38059146573187974</v>
      </c>
      <c r="G18" s="173"/>
      <c r="H18" s="173"/>
      <c r="I18" s="173"/>
      <c r="J18" s="173"/>
      <c r="K18" s="173"/>
    </row>
    <row r="19" spans="1:11" x14ac:dyDescent="0.25">
      <c r="A19" s="173"/>
      <c r="B19" s="173"/>
      <c r="C19" s="173"/>
      <c r="D19" s="173"/>
      <c r="E19" s="173"/>
      <c r="F19" s="173"/>
      <c r="G19" s="173"/>
      <c r="H19" s="173"/>
      <c r="I19" s="173"/>
      <c r="J19" s="173"/>
      <c r="K19" s="173"/>
    </row>
    <row r="20" spans="1:11" x14ac:dyDescent="0.25">
      <c r="A20" s="176" t="s">
        <v>850</v>
      </c>
      <c r="B20" s="173"/>
      <c r="C20" s="173"/>
      <c r="D20" s="173"/>
      <c r="E20" s="173"/>
      <c r="F20" s="173"/>
      <c r="G20" s="173"/>
      <c r="H20" s="173"/>
      <c r="I20" s="173"/>
      <c r="J20" s="173"/>
      <c r="K20" s="173"/>
    </row>
    <row r="21" spans="1:11" ht="15.75" thickBot="1" x14ac:dyDescent="0.3">
      <c r="A21" s="265"/>
      <c r="B21" s="265"/>
      <c r="C21" s="265"/>
      <c r="D21" s="265"/>
      <c r="E21" s="265"/>
      <c r="F21" s="265"/>
      <c r="G21" s="265"/>
      <c r="H21" s="265"/>
      <c r="I21" s="265"/>
      <c r="J21" s="265"/>
      <c r="K21" s="265"/>
    </row>
    <row r="22" spans="1:11" ht="15.75" thickBot="1" x14ac:dyDescent="0.3">
      <c r="A22" s="1262" t="s">
        <v>851</v>
      </c>
      <c r="B22" s="1263"/>
      <c r="C22" s="1263"/>
      <c r="D22" s="1263"/>
      <c r="E22" s="1263"/>
      <c r="F22" s="1263"/>
      <c r="G22" s="1263"/>
      <c r="H22" s="1263"/>
      <c r="I22" s="1263"/>
      <c r="J22" s="1264"/>
      <c r="K22" s="274" t="s">
        <v>852</v>
      </c>
    </row>
    <row r="23" spans="1:11" x14ac:dyDescent="0.25">
      <c r="A23" s="1265" t="s">
        <v>853</v>
      </c>
      <c r="B23" s="1266"/>
      <c r="C23" s="1266"/>
      <c r="D23" s="1266"/>
      <c r="E23" s="1266"/>
      <c r="F23" s="1266"/>
      <c r="G23" s="1266"/>
      <c r="H23" s="1266"/>
      <c r="I23" s="1266"/>
      <c r="J23" s="1266"/>
      <c r="K23" s="271">
        <v>1</v>
      </c>
    </row>
    <row r="24" spans="1:11" x14ac:dyDescent="0.25">
      <c r="A24" s="1258" t="s">
        <v>854</v>
      </c>
      <c r="B24" s="1259"/>
      <c r="C24" s="1259"/>
      <c r="D24" s="1259"/>
      <c r="E24" s="1259"/>
      <c r="F24" s="1259"/>
      <c r="G24" s="1259"/>
      <c r="H24" s="1259"/>
      <c r="I24" s="1259"/>
      <c r="J24" s="1259"/>
      <c r="K24" s="272">
        <v>2</v>
      </c>
    </row>
    <row r="25" spans="1:11" x14ac:dyDescent="0.25">
      <c r="A25" s="1258" t="s">
        <v>855</v>
      </c>
      <c r="B25" s="1259"/>
      <c r="C25" s="1259"/>
      <c r="D25" s="1259"/>
      <c r="E25" s="1259"/>
      <c r="F25" s="1259"/>
      <c r="G25" s="1259"/>
      <c r="H25" s="1259"/>
      <c r="I25" s="1259"/>
      <c r="J25" s="1259"/>
      <c r="K25" s="272">
        <v>31</v>
      </c>
    </row>
    <row r="26" spans="1:11" x14ac:dyDescent="0.25">
      <c r="A26" s="1258" t="s">
        <v>856</v>
      </c>
      <c r="B26" s="1259"/>
      <c r="C26" s="1259">
        <v>32</v>
      </c>
      <c r="D26" s="1259"/>
      <c r="E26" s="1259"/>
      <c r="F26" s="1259"/>
      <c r="G26" s="1259"/>
      <c r="H26" s="1259"/>
      <c r="I26" s="1259"/>
      <c r="J26" s="1259"/>
      <c r="K26" s="272">
        <v>32</v>
      </c>
    </row>
    <row r="27" spans="1:11" x14ac:dyDescent="0.25">
      <c r="A27" s="1258" t="s">
        <v>857</v>
      </c>
      <c r="B27" s="1259"/>
      <c r="C27" s="1259">
        <v>4</v>
      </c>
      <c r="D27" s="1259"/>
      <c r="E27" s="1259"/>
      <c r="F27" s="1259"/>
      <c r="G27" s="1259"/>
      <c r="H27" s="1259"/>
      <c r="I27" s="1259"/>
      <c r="J27" s="1259"/>
      <c r="K27" s="272">
        <v>4</v>
      </c>
    </row>
    <row r="28" spans="1:11" x14ac:dyDescent="0.25">
      <c r="A28" s="1258" t="s">
        <v>858</v>
      </c>
      <c r="B28" s="1259"/>
      <c r="C28" s="1259">
        <v>5</v>
      </c>
      <c r="D28" s="1259"/>
      <c r="E28" s="1259"/>
      <c r="F28" s="1259"/>
      <c r="G28" s="1259"/>
      <c r="H28" s="1259"/>
      <c r="I28" s="1259"/>
      <c r="J28" s="1259"/>
      <c r="K28" s="272">
        <v>5</v>
      </c>
    </row>
    <row r="29" spans="1:11" x14ac:dyDescent="0.25">
      <c r="A29" s="1258" t="s">
        <v>859</v>
      </c>
      <c r="B29" s="1259"/>
      <c r="C29" s="1259">
        <v>6</v>
      </c>
      <c r="D29" s="1259"/>
      <c r="E29" s="1259"/>
      <c r="F29" s="1259"/>
      <c r="G29" s="1259"/>
      <c r="H29" s="1259"/>
      <c r="I29" s="1259"/>
      <c r="J29" s="1259"/>
      <c r="K29" s="272">
        <v>6</v>
      </c>
    </row>
    <row r="30" spans="1:11" x14ac:dyDescent="0.25">
      <c r="A30" s="1258" t="s">
        <v>860</v>
      </c>
      <c r="B30" s="1259"/>
      <c r="C30" s="1259">
        <v>7</v>
      </c>
      <c r="D30" s="1259"/>
      <c r="E30" s="1259"/>
      <c r="F30" s="1259"/>
      <c r="G30" s="1259"/>
      <c r="H30" s="1259"/>
      <c r="I30" s="1259"/>
      <c r="J30" s="1259"/>
      <c r="K30" s="272">
        <v>7</v>
      </c>
    </row>
    <row r="31" spans="1:11" x14ac:dyDescent="0.25">
      <c r="A31" s="1258" t="s">
        <v>861</v>
      </c>
      <c r="B31" s="1259"/>
      <c r="C31" s="1259">
        <v>8</v>
      </c>
      <c r="D31" s="1259"/>
      <c r="E31" s="1259"/>
      <c r="F31" s="1259"/>
      <c r="G31" s="1259"/>
      <c r="H31" s="1259"/>
      <c r="I31" s="1259"/>
      <c r="J31" s="1259"/>
      <c r="K31" s="272">
        <v>8</v>
      </c>
    </row>
    <row r="32" spans="1:11" x14ac:dyDescent="0.25">
      <c r="A32" s="1258" t="s">
        <v>862</v>
      </c>
      <c r="B32" s="1259"/>
      <c r="C32" s="1259">
        <v>9</v>
      </c>
      <c r="D32" s="1259"/>
      <c r="E32" s="1259"/>
      <c r="F32" s="1259"/>
      <c r="G32" s="1259"/>
      <c r="H32" s="1259"/>
      <c r="I32" s="1259"/>
      <c r="J32" s="1259"/>
      <c r="K32" s="272">
        <v>9</v>
      </c>
    </row>
    <row r="33" spans="1:11" x14ac:dyDescent="0.25">
      <c r="A33" s="1258" t="s">
        <v>863</v>
      </c>
      <c r="B33" s="1259"/>
      <c r="C33" s="1259">
        <v>10</v>
      </c>
      <c r="D33" s="1259"/>
      <c r="E33" s="1259"/>
      <c r="F33" s="1259"/>
      <c r="G33" s="1259"/>
      <c r="H33" s="1259"/>
      <c r="I33" s="1259"/>
      <c r="J33" s="1259"/>
      <c r="K33" s="272">
        <v>10</v>
      </c>
    </row>
    <row r="34" spans="1:11" x14ac:dyDescent="0.25">
      <c r="A34" s="1258" t="s">
        <v>864</v>
      </c>
      <c r="B34" s="1259"/>
      <c r="C34" s="1259">
        <v>11</v>
      </c>
      <c r="D34" s="1259"/>
      <c r="E34" s="1259"/>
      <c r="F34" s="1259"/>
      <c r="G34" s="1259"/>
      <c r="H34" s="1259"/>
      <c r="I34" s="1259"/>
      <c r="J34" s="1259"/>
      <c r="K34" s="272">
        <v>11</v>
      </c>
    </row>
    <row r="35" spans="1:11" ht="15.75" thickBot="1" x14ac:dyDescent="0.3">
      <c r="A35" s="1260" t="s">
        <v>865</v>
      </c>
      <c r="B35" s="1261"/>
      <c r="C35" s="1261">
        <v>12</v>
      </c>
      <c r="D35" s="1261"/>
      <c r="E35" s="1261"/>
      <c r="F35" s="1261"/>
      <c r="G35" s="1261"/>
      <c r="H35" s="1261"/>
      <c r="I35" s="1261"/>
      <c r="J35" s="1261"/>
      <c r="K35" s="273">
        <v>12</v>
      </c>
    </row>
    <row r="36" spans="1:11" x14ac:dyDescent="0.25">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2018</ano>
  </documentManagement>
</p:properties>
</file>

<file path=customXml/itemProps1.xml><?xml version="1.0" encoding="utf-8"?>
<ds:datastoreItem xmlns:ds="http://schemas.openxmlformats.org/officeDocument/2006/customXml" ds:itemID="{C6486E77-62F9-4942-BCD7-5B0DEACF4858}"/>
</file>

<file path=customXml/itemProps2.xml><?xml version="1.0" encoding="utf-8"?>
<ds:datastoreItem xmlns:ds="http://schemas.openxmlformats.org/officeDocument/2006/customXml" ds:itemID="{94156368-EE3F-4CF4-8946-1C3FA57E7486}"/>
</file>

<file path=customXml/itemProps3.xml><?xml version="1.0" encoding="utf-8"?>
<ds:datastoreItem xmlns:ds="http://schemas.openxmlformats.org/officeDocument/2006/customXml" ds:itemID="{CB1920A4-CDC1-413E-B6A7-A2503A7BEA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Plan de Accion Final</vt:lpstr>
      <vt:lpstr>Hoja2</vt:lpstr>
      <vt:lpstr>Plan de Accion 2018</vt:lpstr>
      <vt:lpstr>Cuadro Mando Integral Seguimien</vt:lpstr>
      <vt:lpstr>Cuadro Mando Integral Detallado</vt:lpstr>
      <vt:lpstr>Cumplimiento perspectivas conso</vt:lpstr>
      <vt:lpstr>Cumplimiento perspectivas Mejor</vt:lpstr>
      <vt:lpstr>Cumplimiento de objetivos</vt:lpstr>
      <vt:lpstr>Cumplimi actividades relevantes</vt:lpstr>
      <vt:lpstr>Cumplimiento de objetivos Mejor</vt:lpstr>
      <vt:lpstr>Cumplimiento Dependencias</vt:lpstr>
      <vt:lpstr>Cumplimiento Dependencias Mejor</vt:lpstr>
      <vt:lpstr>Ejecución Presupuestal</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2018-05-18T20:57:50Z</cp:lastPrinted>
  <dcterms:created xsi:type="dcterms:W3CDTF">2017-11-02T20:07:37Z</dcterms:created>
  <dcterms:modified xsi:type="dcterms:W3CDTF">2018-09-06T20:13:20Z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